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C:\Users\kalex\Downloads\"/>
    </mc:Choice>
  </mc:AlternateContent>
  <bookViews>
    <workbookView xWindow="0" yWindow="0" windowWidth="19200" windowHeight="7032" tabRatio="879" firstSheet="4" activeTab="4"/>
  </bookViews>
  <sheets>
    <sheet name="new data" sheetId="8" state="hidden" r:id="rId1"/>
    <sheet name="Logic" sheetId="15" state="hidden" r:id="rId2"/>
    <sheet name="Tables" sheetId="16" state="hidden" r:id="rId3"/>
    <sheet name="Internal" sheetId="18" state="hidden" r:id="rId4"/>
    <sheet name="Modular calculator" sheetId="27" r:id="rId5"/>
  </sheets>
  <definedNames>
    <definedName name="_xlnm._FilterDatabase" localSheetId="1" hidden="1">Logic!$O$1:$P$142</definedName>
    <definedName name="BackPnsRng">'new data'!$S$5:$S$7</definedName>
    <definedName name="BarT">'new data'!$AC$2:$AD$22</definedName>
    <definedName name="BKScrToCalc">Internal!$T$1</definedName>
    <definedName name="Body_spacerT">'new data'!$AC$23:$AD$32</definedName>
    <definedName name="Break_Secure">'new data'!$S$9:$S$12</definedName>
    <definedName name="CalcPlatProd">Logic!$C$7:$I$98</definedName>
    <definedName name="CliQ">'new data'!$S$49:$T$53</definedName>
    <definedName name="CliqT">'new data'!$S$49:$T$57</definedName>
    <definedName name="ConstructionCylToCalc">Internal!$K$1</definedName>
    <definedName name="ConvRate">Logic!$A$3</definedName>
    <definedName name="Currency">Logic!$R$2:$R$12</definedName>
    <definedName name="Discount">#REF!</definedName>
    <definedName name="EmergencyFuncToCalc">Internal!$L$1</definedName>
    <definedName name="finish">'new data'!$L$2:$L$32</definedName>
    <definedName name="FinishT">'new data'!$L:$M</definedName>
    <definedName name="FinishToCalc">Internal!$J$1:$J$6</definedName>
    <definedName name="IncreasmentsT">'new data'!$O$1:$Q$34</definedName>
    <definedName name="keys">'new data'!$I$4:$I$52</definedName>
    <definedName name="KeysT">'new data'!$I:$J</definedName>
    <definedName name="KeysToCalc">Internal!$Y$1:$Y$33</definedName>
    <definedName name="KnobToCalc">Internal!$I$1</definedName>
    <definedName name="Ks">#REF!</definedName>
    <definedName name="length">'new data'!$F$2:$F$326</definedName>
    <definedName name="LengthT">'new data'!$F:$G</definedName>
    <definedName name="LengthToCalc">Internal!$E$1:$E$6</definedName>
    <definedName name="Loaded_Bodies">'new data'!$S$44:$T$46</definedName>
    <definedName name="LoadedBodiesToCalc">Internal!$U$1</definedName>
    <definedName name="Master">'new data'!$S$47:$T$48</definedName>
    <definedName name="ModularPlug">'new data'!$F$332:$G$336</definedName>
    <definedName name="MstrKySstmToCalc">Internal!$R$1</definedName>
    <definedName name="MyT">#REF!</definedName>
    <definedName name="NENEGToCalc">Internal!$AC$1:$AC$2</definedName>
    <definedName name="NPG">'new data'!$A:$D</definedName>
    <definedName name="package">'new data'!$O$37:$O$43</definedName>
    <definedName name="PackageT">'new data'!$O:$P</definedName>
    <definedName name="PackageToCalc">Internal!$F$1:$F$3</definedName>
    <definedName name="PartNPG">'new data'!$C:$D</definedName>
    <definedName name="Plat">#REF!</definedName>
    <definedName name="Platform">'new data'!$O$2:$O$14</definedName>
    <definedName name="PlatToInclude">Logic!$P$3:$P$18</definedName>
    <definedName name="ProdName">#REF!</definedName>
    <definedName name="ProdToCalc">Internal!$A$1:$A$56</definedName>
    <definedName name="ProdToInclude">Logic!$O$2</definedName>
    <definedName name="product_group">'new data'!$A$2:$A$174</definedName>
    <definedName name="ShackleprotectorToCalc">Internal!$Q$1</definedName>
    <definedName name="Shackles">'new data'!$V$2:$V$32</definedName>
    <definedName name="ShacklesT">'new data'!$V:$W</definedName>
    <definedName name="ShacklesToCalc">Internal!$G$1:$G$3</definedName>
    <definedName name="ShutterToCalc">Internal!$M$1</definedName>
    <definedName name="Side_Pins">'new data'!$S$1:$S$7</definedName>
    <definedName name="Side27mmToCalc">Internal!$AA$1</definedName>
    <definedName name="SidePinsToCalc">Internal!$C$1:$C$2</definedName>
    <definedName name="SidePnsRng">'new data'!$S$2:$S$4</definedName>
    <definedName name="SP">#REF!</definedName>
    <definedName name="spacer">'new data'!$Y$2:$Z$10</definedName>
    <definedName name="spacer1">'new data'!$Y$2:$Y$10</definedName>
    <definedName name="SpacerT">'new data'!$Y:$Z</definedName>
    <definedName name="SpacerToCalc">Internal!$H$1:$H$5</definedName>
    <definedName name="SpclToCalc">Internal!$V$1</definedName>
    <definedName name="Specials">'new data'!$S$15:$S$21</definedName>
    <definedName name="Strenghening_plate">'new data'!$S$32:$T$34</definedName>
    <definedName name="StrengthToCalc">Internal!$O$1</definedName>
    <definedName name="ThreeInOneToCalc">Internal!$S$1:$S$3</definedName>
    <definedName name="ThreePieceCamToCalc">Internal!$N$1</definedName>
    <definedName name="TLO">#REF!</definedName>
    <definedName name="VariablesT">'new data'!$S:$T</definedName>
    <definedName name="we">Logic!$A$3</definedName>
  </definedNames>
  <calcPr calcId="162913"/>
</workbook>
</file>

<file path=xl/calcChain.xml><?xml version="1.0" encoding="utf-8"?>
<calcChain xmlns="http://schemas.openxmlformats.org/spreadsheetml/2006/main">
  <c r="V6" i="27" l="1"/>
  <c r="G366" i="8" l="1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P46" i="8"/>
  <c r="P44" i="8"/>
  <c r="P45" i="8"/>
  <c r="D180" i="8"/>
  <c r="V27" i="27"/>
  <c r="W27" i="27" s="1"/>
  <c r="V25" i="27"/>
  <c r="W25" i="27" s="1"/>
  <c r="B38" i="27"/>
  <c r="B37" i="27"/>
  <c r="B36" i="27"/>
  <c r="B35" i="27"/>
  <c r="B34" i="27"/>
  <c r="B33" i="27"/>
  <c r="B32" i="27"/>
  <c r="B31" i="27"/>
  <c r="Y14" i="27"/>
  <c r="Z14" i="27" s="1"/>
  <c r="Y13" i="27"/>
  <c r="Z13" i="27" s="1"/>
  <c r="V14" i="27"/>
  <c r="W14" i="27" s="1"/>
  <c r="V13" i="27"/>
  <c r="W13" i="27" s="1"/>
  <c r="Y12" i="27"/>
  <c r="Z12" i="27" s="1"/>
  <c r="V12" i="27"/>
  <c r="W12" i="27" s="1"/>
  <c r="Y11" i="27"/>
  <c r="Z11" i="27" s="1"/>
  <c r="V11" i="27"/>
  <c r="W11" i="27" s="1"/>
  <c r="V10" i="27"/>
  <c r="W10" i="27" s="1"/>
  <c r="Y10" i="27"/>
  <c r="Z10" i="27" s="1"/>
  <c r="Y9" i="27"/>
  <c r="V9" i="27"/>
  <c r="Y8" i="27"/>
  <c r="V8" i="27"/>
  <c r="Y6" i="27"/>
  <c r="B30" i="27"/>
  <c r="T4" i="15"/>
  <c r="T2" i="15"/>
  <c r="T9" i="15"/>
  <c r="S5" i="15"/>
  <c r="T5" i="15" s="1"/>
  <c r="U2" i="27"/>
  <c r="B2" i="27"/>
  <c r="B3" i="27"/>
  <c r="B4" i="27"/>
  <c r="B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T11" i="15"/>
  <c r="A3" i="15" s="1"/>
  <c r="T12" i="15"/>
  <c r="T10" i="15"/>
  <c r="T8" i="15"/>
  <c r="T7" i="15"/>
  <c r="T6" i="15"/>
  <c r="T3" i="15"/>
  <c r="M9" i="8"/>
  <c r="D139" i="8"/>
  <c r="J2" i="8"/>
  <c r="G156" i="8"/>
  <c r="D178" i="8"/>
  <c r="Z8" i="8"/>
  <c r="D76" i="8"/>
  <c r="J15" i="8"/>
  <c r="D18" i="8"/>
  <c r="D187" i="8"/>
  <c r="D83" i="8"/>
  <c r="D106" i="8"/>
  <c r="W17" i="8"/>
  <c r="D43" i="8"/>
  <c r="D66" i="8"/>
  <c r="D130" i="8"/>
  <c r="J4" i="8"/>
  <c r="AD7" i="8"/>
  <c r="G36" i="8"/>
  <c r="J3" i="8"/>
  <c r="G4" i="8"/>
  <c r="AD6" i="8"/>
  <c r="T10" i="8"/>
  <c r="M11" i="8"/>
  <c r="M15" i="8"/>
  <c r="AP29" i="8"/>
  <c r="AP34" i="8"/>
  <c r="J63" i="8"/>
  <c r="G228" i="8"/>
  <c r="G292" i="8"/>
  <c r="D21" i="8"/>
  <c r="D53" i="8"/>
  <c r="D61" i="8"/>
  <c r="D85" i="8"/>
  <c r="D117" i="8"/>
  <c r="D125" i="8"/>
  <c r="D149" i="8"/>
  <c r="D181" i="8"/>
  <c r="D189" i="8"/>
  <c r="T3" i="8"/>
  <c r="AP6" i="8"/>
  <c r="AH7" i="8"/>
  <c r="Z10" i="8"/>
  <c r="M16" i="8"/>
  <c r="W18" i="8"/>
  <c r="G31" i="8"/>
  <c r="G67" i="8"/>
  <c r="G100" i="8"/>
  <c r="G244" i="8"/>
  <c r="D22" i="8"/>
  <c r="D30" i="8"/>
  <c r="D54" i="8"/>
  <c r="D86" i="8"/>
  <c r="D94" i="8"/>
  <c r="D118" i="8"/>
  <c r="D150" i="8"/>
  <c r="D158" i="8"/>
  <c r="D182" i="8"/>
  <c r="W3" i="8"/>
  <c r="T4" i="8"/>
  <c r="G7" i="8"/>
  <c r="AD10" i="8"/>
  <c r="Z11" i="8"/>
  <c r="T16" i="8"/>
  <c r="G32" i="8"/>
  <c r="J37" i="8"/>
  <c r="AP70" i="8"/>
  <c r="G252" i="8"/>
  <c r="G316" i="8"/>
  <c r="D23" i="8"/>
  <c r="D55" i="8"/>
  <c r="D63" i="8"/>
  <c r="D87" i="8"/>
  <c r="D119" i="8"/>
  <c r="D127" i="8"/>
  <c r="D151" i="8"/>
  <c r="D183" i="8"/>
  <c r="D191" i="8"/>
  <c r="Z3" i="8"/>
  <c r="J7" i="8"/>
  <c r="G8" i="8"/>
  <c r="AP9" i="8"/>
  <c r="AH10" i="8"/>
  <c r="W16" i="8"/>
  <c r="T19" i="8"/>
  <c r="T27" i="8"/>
  <c r="J32" i="8"/>
  <c r="AP74" i="8"/>
  <c r="AP108" i="8"/>
  <c r="G196" i="8"/>
  <c r="G260" i="8"/>
  <c r="D24" i="8"/>
  <c r="D32" i="8"/>
  <c r="D40" i="8"/>
  <c r="D48" i="8"/>
  <c r="D56" i="8"/>
  <c r="D80" i="8"/>
  <c r="D88" i="8"/>
  <c r="D96" i="8"/>
  <c r="D104" i="8"/>
  <c r="D112" i="8"/>
  <c r="D120" i="8"/>
  <c r="D128" i="8"/>
  <c r="D136" i="8"/>
  <c r="D144" i="8"/>
  <c r="D152" i="8"/>
  <c r="D160" i="8"/>
  <c r="D168" i="8"/>
  <c r="D176" i="8"/>
  <c r="D184" i="8"/>
  <c r="D192" i="8"/>
  <c r="D200" i="8"/>
  <c r="AH2" i="8"/>
  <c r="AD3" i="8"/>
  <c r="Z4" i="8"/>
  <c r="W5" i="8"/>
  <c r="T6" i="8"/>
  <c r="M7" i="8"/>
  <c r="J8" i="8"/>
  <c r="G9" i="8"/>
  <c r="G10" i="8"/>
  <c r="AP10" i="8"/>
  <c r="AH11" i="8"/>
  <c r="AD12" i="8"/>
  <c r="J14" i="8"/>
  <c r="M17" i="8"/>
  <c r="W19" i="8"/>
  <c r="W23" i="8"/>
  <c r="W28" i="8"/>
  <c r="T33" i="8"/>
  <c r="T38" i="8"/>
  <c r="T58" i="8"/>
  <c r="G79" i="8"/>
  <c r="AP112" i="8"/>
  <c r="G145" i="8"/>
  <c r="G204" i="8"/>
  <c r="G268" i="8"/>
  <c r="G339" i="8"/>
  <c r="G331" i="8"/>
  <c r="G323" i="8"/>
  <c r="G315" i="8"/>
  <c r="G307" i="8"/>
  <c r="G299" i="8"/>
  <c r="G291" i="8"/>
  <c r="G283" i="8"/>
  <c r="G275" i="8"/>
  <c r="G267" i="8"/>
  <c r="G259" i="8"/>
  <c r="G251" i="8"/>
  <c r="G243" i="8"/>
  <c r="G235" i="8"/>
  <c r="G227" i="8"/>
  <c r="G219" i="8"/>
  <c r="G211" i="8"/>
  <c r="G203" i="8"/>
  <c r="G195" i="8"/>
  <c r="G187" i="8"/>
  <c r="G179" i="8"/>
  <c r="G171" i="8"/>
  <c r="G163" i="8"/>
  <c r="G155" i="8"/>
  <c r="G149" i="8"/>
  <c r="AP144" i="8"/>
  <c r="AP140" i="8"/>
  <c r="G136" i="8"/>
  <c r="G132" i="8"/>
  <c r="G128" i="8"/>
  <c r="G124" i="8"/>
  <c r="G120" i="8"/>
  <c r="G116" i="8"/>
  <c r="G112" i="8"/>
  <c r="G108" i="8"/>
  <c r="AP103" i="8"/>
  <c r="AP99" i="8"/>
  <c r="AP95" i="8"/>
  <c r="G91" i="8"/>
  <c r="G87" i="8"/>
  <c r="AP82" i="8"/>
  <c r="AP78" i="8"/>
  <c r="G74" i="8"/>
  <c r="G70" i="8"/>
  <c r="AP66" i="8"/>
  <c r="AD64" i="8"/>
  <c r="G63" i="8"/>
  <c r="T61" i="8"/>
  <c r="AP59" i="8"/>
  <c r="J58" i="8"/>
  <c r="AD56" i="8"/>
  <c r="G55" i="8"/>
  <c r="T53" i="8"/>
  <c r="AP51" i="8"/>
  <c r="J50" i="8"/>
  <c r="T48" i="8"/>
  <c r="AD46" i="8"/>
  <c r="J45" i="8"/>
  <c r="AD43" i="8"/>
  <c r="G346" i="8"/>
  <c r="G338" i="8"/>
  <c r="G330" i="8"/>
  <c r="G322" i="8"/>
  <c r="G314" i="8"/>
  <c r="G306" i="8"/>
  <c r="G298" i="8"/>
  <c r="G290" i="8"/>
  <c r="G282" i="8"/>
  <c r="G274" i="8"/>
  <c r="G266" i="8"/>
  <c r="G258" i="8"/>
  <c r="G250" i="8"/>
  <c r="G242" i="8"/>
  <c r="G234" i="8"/>
  <c r="G226" i="8"/>
  <c r="G218" i="8"/>
  <c r="G210" i="8"/>
  <c r="G202" i="8"/>
  <c r="G194" i="8"/>
  <c r="G186" i="8"/>
  <c r="G178" i="8"/>
  <c r="G170" i="8"/>
  <c r="G162" i="8"/>
  <c r="G154" i="8"/>
  <c r="G148" i="8"/>
  <c r="G144" i="8"/>
  <c r="G140" i="8"/>
  <c r="AP135" i="8"/>
  <c r="AP131" i="8"/>
  <c r="AP127" i="8"/>
  <c r="AP123" i="8"/>
  <c r="AP119" i="8"/>
  <c r="AP115" i="8"/>
  <c r="AP111" i="8"/>
  <c r="AP107" i="8"/>
  <c r="G103" i="8"/>
  <c r="G99" i="8"/>
  <c r="G95" i="8"/>
  <c r="AP90" i="8"/>
  <c r="AP86" i="8"/>
  <c r="G82" i="8"/>
  <c r="G78" i="8"/>
  <c r="AP73" i="8"/>
  <c r="AP69" i="8"/>
  <c r="T66" i="8"/>
  <c r="T64" i="8"/>
  <c r="AP62" i="8"/>
  <c r="J61" i="8"/>
  <c r="AD59" i="8"/>
  <c r="G58" i="8"/>
  <c r="T56" i="8"/>
  <c r="AP54" i="8"/>
  <c r="J53" i="8"/>
  <c r="AD51" i="8"/>
  <c r="G50" i="8"/>
  <c r="J48" i="8"/>
  <c r="T46" i="8"/>
  <c r="G45" i="8"/>
  <c r="T43" i="8"/>
  <c r="G41" i="8"/>
  <c r="AD39" i="8"/>
  <c r="P38" i="8"/>
  <c r="G37" i="8"/>
  <c r="AP35" i="8"/>
  <c r="W34" i="8"/>
  <c r="M33" i="8"/>
  <c r="AP31" i="8"/>
  <c r="AD30" i="8"/>
  <c r="W29" i="8"/>
  <c r="T28" i="8"/>
  <c r="J27" i="8"/>
  <c r="G26" i="8"/>
  <c r="AD24" i="8"/>
  <c r="T23" i="8"/>
  <c r="M22" i="8"/>
  <c r="J21" i="8"/>
  <c r="J20" i="8"/>
  <c r="J19" i="8"/>
  <c r="J18" i="8"/>
  <c r="J17" i="8"/>
  <c r="J16" i="8"/>
  <c r="G15" i="8"/>
  <c r="AP13" i="8"/>
  <c r="G345" i="8"/>
  <c r="G337" i="8"/>
  <c r="G329" i="8"/>
  <c r="G321" i="8"/>
  <c r="G313" i="8"/>
  <c r="G305" i="8"/>
  <c r="G297" i="8"/>
  <c r="G289" i="8"/>
  <c r="G281" i="8"/>
  <c r="G273" i="8"/>
  <c r="G265" i="8"/>
  <c r="G257" i="8"/>
  <c r="G249" i="8"/>
  <c r="G241" i="8"/>
  <c r="G233" i="8"/>
  <c r="G225" i="8"/>
  <c r="G217" i="8"/>
  <c r="G209" i="8"/>
  <c r="G201" i="8"/>
  <c r="G193" i="8"/>
  <c r="G185" i="8"/>
  <c r="G177" i="8"/>
  <c r="G169" i="8"/>
  <c r="G161" i="8"/>
  <c r="G153" i="8"/>
  <c r="AP147" i="8"/>
  <c r="AP143" i="8"/>
  <c r="AP139" i="8"/>
  <c r="G135" i="8"/>
  <c r="G131" i="8"/>
  <c r="G127" i="8"/>
  <c r="G123" i="8"/>
  <c r="G119" i="8"/>
  <c r="G115" i="8"/>
  <c r="G111" i="8"/>
  <c r="G107" i="8"/>
  <c r="AP102" i="8"/>
  <c r="AP98" i="8"/>
  <c r="G94" i="8"/>
  <c r="G90" i="8"/>
  <c r="G86" i="8"/>
  <c r="AP81" i="8"/>
  <c r="AP77" i="8"/>
  <c r="G73" i="8"/>
  <c r="G69" i="8"/>
  <c r="G66" i="8"/>
  <c r="J64" i="8"/>
  <c r="AD62" i="8"/>
  <c r="G61" i="8"/>
  <c r="T59" i="8"/>
  <c r="AP57" i="8"/>
  <c r="J56" i="8"/>
  <c r="AD54" i="8"/>
  <c r="G53" i="8"/>
  <c r="T51" i="8"/>
  <c r="AP49" i="8"/>
  <c r="G48" i="8"/>
  <c r="J46" i="8"/>
  <c r="AP44" i="8"/>
  <c r="P43" i="8"/>
  <c r="J42" i="8"/>
  <c r="AP40" i="8"/>
  <c r="T39" i="8"/>
  <c r="J38" i="8"/>
  <c r="AP36" i="8"/>
  <c r="AD35" i="8"/>
  <c r="T34" i="8"/>
  <c r="J33" i="8"/>
  <c r="AD31" i="8"/>
  <c r="W30" i="8"/>
  <c r="T29" i="8"/>
  <c r="M28" i="8"/>
  <c r="G27" i="8"/>
  <c r="AP25" i="8"/>
  <c r="W24" i="8"/>
  <c r="M23" i="8"/>
  <c r="J22" i="8"/>
  <c r="G21" i="8"/>
  <c r="G20" i="8"/>
  <c r="G19" i="8"/>
  <c r="G18" i="8"/>
  <c r="G17" i="8"/>
  <c r="G16" i="8"/>
  <c r="AP14" i="8"/>
  <c r="G344" i="8"/>
  <c r="G336" i="8"/>
  <c r="G328" i="8"/>
  <c r="G320" i="8"/>
  <c r="G312" i="8"/>
  <c r="G304" i="8"/>
  <c r="G296" i="8"/>
  <c r="G288" i="8"/>
  <c r="G280" i="8"/>
  <c r="G272" i="8"/>
  <c r="G264" i="8"/>
  <c r="G256" i="8"/>
  <c r="G248" i="8"/>
  <c r="G240" i="8"/>
  <c r="G232" i="8"/>
  <c r="G224" i="8"/>
  <c r="G216" i="8"/>
  <c r="G208" i="8"/>
  <c r="G200" i="8"/>
  <c r="G192" i="8"/>
  <c r="G184" i="8"/>
  <c r="G176" i="8"/>
  <c r="G168" i="8"/>
  <c r="G160" i="8"/>
  <c r="G152" i="8"/>
  <c r="G147" i="8"/>
  <c r="G143" i="8"/>
  <c r="G139" i="8"/>
  <c r="AP134" i="8"/>
  <c r="AP130" i="8"/>
  <c r="AP126" i="8"/>
  <c r="AP122" i="8"/>
  <c r="AP118" i="8"/>
  <c r="AP114" i="8"/>
  <c r="AP110" i="8"/>
  <c r="AP106" i="8"/>
  <c r="G102" i="8"/>
  <c r="G98" i="8"/>
  <c r="AP93" i="8"/>
  <c r="AP89" i="8"/>
  <c r="AP85" i="8"/>
  <c r="G81" i="8"/>
  <c r="G77" i="8"/>
  <c r="AP72" i="8"/>
  <c r="AP68" i="8"/>
  <c r="AP65" i="8"/>
  <c r="G64" i="8"/>
  <c r="T62" i="8"/>
  <c r="AP60" i="8"/>
  <c r="J59" i="8"/>
  <c r="AD57" i="8"/>
  <c r="G56" i="8"/>
  <c r="T54" i="8"/>
  <c r="AP52" i="8"/>
  <c r="J51" i="8"/>
  <c r="AD49" i="8"/>
  <c r="AP47" i="8"/>
  <c r="G46" i="8"/>
  <c r="AD44" i="8"/>
  <c r="J43" i="8"/>
  <c r="G42" i="8"/>
  <c r="AD40" i="8"/>
  <c r="P39" i="8"/>
  <c r="G38" i="8"/>
  <c r="AD36" i="8"/>
  <c r="W35" i="8"/>
  <c r="M34" i="8"/>
  <c r="G33" i="8"/>
  <c r="W31" i="8"/>
  <c r="T30" i="8"/>
  <c r="M29" i="8"/>
  <c r="J28" i="8"/>
  <c r="AP26" i="8"/>
  <c r="AD25" i="8"/>
  <c r="T24" i="8"/>
  <c r="J23" i="8"/>
  <c r="G22" i="8"/>
  <c r="AP20" i="8"/>
  <c r="AP19" i="8"/>
  <c r="AP18" i="8"/>
  <c r="AP17" i="8"/>
  <c r="AP16" i="8"/>
  <c r="AP15" i="8"/>
  <c r="AH14" i="8"/>
  <c r="AD13" i="8"/>
  <c r="G343" i="8"/>
  <c r="G335" i="8"/>
  <c r="G327" i="8"/>
  <c r="G319" i="8"/>
  <c r="G311" i="8"/>
  <c r="G303" i="8"/>
  <c r="G295" i="8"/>
  <c r="G287" i="8"/>
  <c r="G279" i="8"/>
  <c r="G271" i="8"/>
  <c r="G263" i="8"/>
  <c r="G255" i="8"/>
  <c r="G247" i="8"/>
  <c r="G239" i="8"/>
  <c r="G231" i="8"/>
  <c r="G223" i="8"/>
  <c r="G215" i="8"/>
  <c r="G207" i="8"/>
  <c r="G199" i="8"/>
  <c r="G191" i="8"/>
  <c r="G183" i="8"/>
  <c r="G175" i="8"/>
  <c r="G167" i="8"/>
  <c r="G159" i="8"/>
  <c r="G151" i="8"/>
  <c r="AP146" i="8"/>
  <c r="AP142" i="8"/>
  <c r="AP138" i="8"/>
  <c r="G134" i="8"/>
  <c r="G130" i="8"/>
  <c r="G126" i="8"/>
  <c r="G122" i="8"/>
  <c r="G118" i="8"/>
  <c r="G114" i="8"/>
  <c r="G110" i="8"/>
  <c r="G106" i="8"/>
  <c r="AP101" i="8"/>
  <c r="AP97" i="8"/>
  <c r="G93" i="8"/>
  <c r="G89" i="8"/>
  <c r="G85" i="8"/>
  <c r="AP80" i="8"/>
  <c r="AP76" i="8"/>
  <c r="G72" i="8"/>
  <c r="T68" i="8"/>
  <c r="AD65" i="8"/>
  <c r="AP63" i="8"/>
  <c r="J62" i="8"/>
  <c r="AD60" i="8"/>
  <c r="G59" i="8"/>
  <c r="T57" i="8"/>
  <c r="AP55" i="8"/>
  <c r="J54" i="8"/>
  <c r="AD52" i="8"/>
  <c r="G51" i="8"/>
  <c r="J49" i="8"/>
  <c r="AD47" i="8"/>
  <c r="AP45" i="8"/>
  <c r="G43" i="8"/>
  <c r="AP41" i="8"/>
  <c r="T40" i="8"/>
  <c r="J39" i="8"/>
  <c r="AP37" i="8"/>
  <c r="W36" i="8"/>
  <c r="M35" i="8"/>
  <c r="J34" i="8"/>
  <c r="AD32" i="8"/>
  <c r="T31" i="8"/>
  <c r="M30" i="8"/>
  <c r="J29" i="8"/>
  <c r="G28" i="8"/>
  <c r="AD26" i="8"/>
  <c r="W25" i="8"/>
  <c r="M24" i="8"/>
  <c r="G23" i="8"/>
  <c r="AP21" i="8"/>
  <c r="AH20" i="8"/>
  <c r="AH19" i="8"/>
  <c r="AH18" i="8"/>
  <c r="AH17" i="8"/>
  <c r="AH16" i="8"/>
  <c r="AH15" i="8"/>
  <c r="AD14" i="8"/>
  <c r="W13" i="8"/>
  <c r="G342" i="8"/>
  <c r="G334" i="8"/>
  <c r="G326" i="8"/>
  <c r="G318" i="8"/>
  <c r="G310" i="8"/>
  <c r="G302" i="8"/>
  <c r="G294" i="8"/>
  <c r="G286" i="8"/>
  <c r="G278" i="8"/>
  <c r="G270" i="8"/>
  <c r="G262" i="8"/>
  <c r="G254" i="8"/>
  <c r="G246" i="8"/>
  <c r="G238" i="8"/>
  <c r="G230" i="8"/>
  <c r="G222" i="8"/>
  <c r="G214" i="8"/>
  <c r="G206" i="8"/>
  <c r="G198" i="8"/>
  <c r="G190" i="8"/>
  <c r="G182" i="8"/>
  <c r="G174" i="8"/>
  <c r="G166" i="8"/>
  <c r="G158" i="8"/>
  <c r="AP150" i="8"/>
  <c r="G146" i="8"/>
  <c r="G142" i="8"/>
  <c r="G138" i="8"/>
  <c r="AP133" i="8"/>
  <c r="AP129" i="8"/>
  <c r="AP125" i="8"/>
  <c r="AP121" i="8"/>
  <c r="AP117" i="8"/>
  <c r="AP113" i="8"/>
  <c r="AP109" i="8"/>
  <c r="AP105" i="8"/>
  <c r="G101" i="8"/>
  <c r="G97" i="8"/>
  <c r="AP92" i="8"/>
  <c r="AP88" i="8"/>
  <c r="G84" i="8"/>
  <c r="G80" i="8"/>
  <c r="G76" i="8"/>
  <c r="AP71" i="8"/>
  <c r="G68" i="8"/>
  <c r="T65" i="8"/>
  <c r="AD63" i="8"/>
  <c r="G62" i="8"/>
  <c r="T60" i="8"/>
  <c r="AP58" i="8"/>
  <c r="J57" i="8"/>
  <c r="AD55" i="8"/>
  <c r="G54" i="8"/>
  <c r="T52" i="8"/>
  <c r="AP50" i="8"/>
  <c r="G49" i="8"/>
  <c r="J47" i="8"/>
  <c r="AD45" i="8"/>
  <c r="J44" i="8"/>
  <c r="AP42" i="8"/>
  <c r="AD41" i="8"/>
  <c r="P40" i="8"/>
  <c r="G39" i="8"/>
  <c r="W37" i="8"/>
  <c r="T36" i="8"/>
  <c r="J35" i="8"/>
  <c r="G34" i="8"/>
  <c r="W32" i="8"/>
  <c r="M31" i="8"/>
  <c r="J30" i="8"/>
  <c r="G29" i="8"/>
  <c r="AP27" i="8"/>
  <c r="W26" i="8"/>
  <c r="M25" i="8"/>
  <c r="J24" i="8"/>
  <c r="AP22" i="8"/>
  <c r="AD21" i="8"/>
  <c r="AD20" i="8"/>
  <c r="AD19" i="8"/>
  <c r="AD18" i="8"/>
  <c r="AD17" i="8"/>
  <c r="AD16" i="8"/>
  <c r="AD15" i="8"/>
  <c r="W14" i="8"/>
  <c r="T13" i="8"/>
  <c r="G341" i="8"/>
  <c r="G333" i="8"/>
  <c r="G325" i="8"/>
  <c r="G317" i="8"/>
  <c r="G309" i="8"/>
  <c r="G301" i="8"/>
  <c r="G293" i="8"/>
  <c r="G285" i="8"/>
  <c r="G277" i="8"/>
  <c r="G269" i="8"/>
  <c r="G261" i="8"/>
  <c r="G253" i="8"/>
  <c r="G245" i="8"/>
  <c r="G237" i="8"/>
  <c r="G229" i="8"/>
  <c r="G221" i="8"/>
  <c r="G213" i="8"/>
  <c r="G205" i="8"/>
  <c r="G197" i="8"/>
  <c r="G189" i="8"/>
  <c r="G181" i="8"/>
  <c r="G173" i="8"/>
  <c r="G165" i="8"/>
  <c r="G157" i="8"/>
  <c r="G150" i="8"/>
  <c r="AP145" i="8"/>
  <c r="AP141" i="8"/>
  <c r="G137" i="8"/>
  <c r="G133" i="8"/>
  <c r="G129" i="8"/>
  <c r="G125" i="8"/>
  <c r="G121" i="8"/>
  <c r="G117" i="8"/>
  <c r="G113" i="8"/>
  <c r="G109" i="8"/>
  <c r="G105" i="8"/>
  <c r="AP100" i="8"/>
  <c r="AP96" i="8"/>
  <c r="G92" i="8"/>
  <c r="G88" i="8"/>
  <c r="AP83" i="8"/>
  <c r="AP79" i="8"/>
  <c r="G75" i="8"/>
  <c r="G71" i="8"/>
  <c r="AP67" i="8"/>
  <c r="G65" i="8"/>
  <c r="T63" i="8"/>
  <c r="AP61" i="8"/>
  <c r="J60" i="8"/>
  <c r="AD58" i="8"/>
  <c r="G57" i="8"/>
  <c r="T55" i="8"/>
  <c r="AP53" i="8"/>
  <c r="J52" i="8"/>
  <c r="AD50" i="8"/>
  <c r="AP48" i="8"/>
  <c r="G47" i="8"/>
  <c r="T45" i="8"/>
  <c r="G44" i="8"/>
  <c r="AD42" i="8"/>
  <c r="T41" i="8"/>
  <c r="J40" i="8"/>
  <c r="AP38" i="8"/>
  <c r="T37" i="8"/>
  <c r="M36" i="8"/>
  <c r="G35" i="8"/>
  <c r="AP33" i="8"/>
  <c r="M32" i="8"/>
  <c r="J31" i="8"/>
  <c r="G30" i="8"/>
  <c r="AP28" i="8"/>
  <c r="AD27" i="8"/>
  <c r="T26" i="8"/>
  <c r="J25" i="8"/>
  <c r="G24" i="8"/>
  <c r="AD22" i="8"/>
  <c r="W21" i="8"/>
  <c r="D9" i="8"/>
  <c r="D17" i="8"/>
  <c r="D25" i="8"/>
  <c r="D33" i="8"/>
  <c r="D41" i="8"/>
  <c r="D49" i="8"/>
  <c r="D57" i="8"/>
  <c r="D65" i="8"/>
  <c r="D73" i="8"/>
  <c r="D81" i="8"/>
  <c r="D89" i="8"/>
  <c r="D97" i="8"/>
  <c r="D105" i="8"/>
  <c r="D113" i="8"/>
  <c r="D121" i="8"/>
  <c r="D129" i="8"/>
  <c r="D137" i="8"/>
  <c r="D145" i="8"/>
  <c r="D153" i="8"/>
  <c r="D161" i="8"/>
  <c r="D169" i="8"/>
  <c r="D177" i="8"/>
  <c r="D185" i="8"/>
  <c r="D193" i="8"/>
  <c r="D201" i="8"/>
  <c r="AP2" i="8"/>
  <c r="AH3" i="8"/>
  <c r="AD4" i="8"/>
  <c r="Z5" i="8"/>
  <c r="W6" i="8"/>
  <c r="T7" i="8"/>
  <c r="M8" i="8"/>
  <c r="J9" i="8"/>
  <c r="J10" i="8"/>
  <c r="G11" i="8"/>
  <c r="AP11" i="8"/>
  <c r="AH12" i="8"/>
  <c r="M14" i="8"/>
  <c r="T17" i="8"/>
  <c r="M20" i="8"/>
  <c r="AP23" i="8"/>
  <c r="AD28" i="8"/>
  <c r="W33" i="8"/>
  <c r="AD38" i="8"/>
  <c r="AP46" i="8"/>
  <c r="G60" i="8"/>
  <c r="G83" i="8"/>
  <c r="AP116" i="8"/>
  <c r="AP149" i="8"/>
  <c r="G212" i="8"/>
  <c r="G276" i="8"/>
  <c r="G340" i="8"/>
  <c r="D11" i="8"/>
  <c r="D74" i="8"/>
  <c r="D179" i="8"/>
  <c r="G332" i="8"/>
  <c r="AP5" i="8"/>
  <c r="D52" i="8"/>
  <c r="D67" i="8"/>
  <c r="D16" i="8"/>
  <c r="AP56" i="8"/>
  <c r="G14" i="8"/>
  <c r="M6" i="8"/>
  <c r="D175" i="8"/>
  <c r="D111" i="8"/>
  <c r="D47" i="8"/>
  <c r="G188" i="8"/>
  <c r="M27" i="8"/>
  <c r="AH9" i="8"/>
  <c r="W2" i="8"/>
  <c r="D142" i="8"/>
  <c r="D78" i="8"/>
  <c r="D14" i="8"/>
  <c r="AD53" i="8"/>
  <c r="M13" i="8"/>
  <c r="G6" i="8"/>
  <c r="D173" i="8"/>
  <c r="D109" i="8"/>
  <c r="D45" i="8"/>
  <c r="G164" i="8"/>
  <c r="G25" i="8"/>
  <c r="W9" i="8"/>
  <c r="M2" i="8"/>
  <c r="D194" i="8"/>
  <c r="D20" i="8"/>
  <c r="D19" i="8"/>
  <c r="M10" i="8"/>
  <c r="D91" i="8"/>
  <c r="D138" i="8"/>
  <c r="D72" i="8"/>
  <c r="D8" i="8"/>
  <c r="AP43" i="8"/>
  <c r="Z12" i="8"/>
  <c r="T5" i="8"/>
  <c r="D167" i="8"/>
  <c r="D103" i="8"/>
  <c r="D39" i="8"/>
  <c r="AP136" i="8"/>
  <c r="T22" i="8"/>
  <c r="AH8" i="8"/>
  <c r="D198" i="8"/>
  <c r="D134" i="8"/>
  <c r="D70" i="8"/>
  <c r="D6" i="8"/>
  <c r="P41" i="8"/>
  <c r="T12" i="8"/>
  <c r="J5" i="8"/>
  <c r="D165" i="8"/>
  <c r="D101" i="8"/>
  <c r="D37" i="8"/>
  <c r="AP124" i="8"/>
  <c r="W20" i="8"/>
  <c r="W8" i="8"/>
  <c r="G300" i="8"/>
  <c r="D171" i="8"/>
  <c r="D2" i="8"/>
  <c r="W15" i="8"/>
  <c r="D186" i="8"/>
  <c r="D68" i="8"/>
  <c r="D10" i="8"/>
  <c r="D64" i="8"/>
  <c r="G324" i="8"/>
  <c r="P37" i="8"/>
  <c r="AD11" i="8"/>
  <c r="W4" i="8"/>
  <c r="D159" i="8"/>
  <c r="D95" i="8"/>
  <c r="D31" i="8"/>
  <c r="G104" i="8"/>
  <c r="M19" i="8"/>
  <c r="AP7" i="8"/>
  <c r="D190" i="8"/>
  <c r="D126" i="8"/>
  <c r="D62" i="8"/>
  <c r="G308" i="8"/>
  <c r="J36" i="8"/>
  <c r="W11" i="8"/>
  <c r="M4" i="8"/>
  <c r="D157" i="8"/>
  <c r="D93" i="8"/>
  <c r="D29" i="8"/>
  <c r="AP91" i="8"/>
  <c r="M18" i="8"/>
  <c r="Z7" i="8"/>
  <c r="G96" i="8"/>
  <c r="D148" i="8"/>
  <c r="G284" i="8"/>
  <c r="W10" i="8"/>
  <c r="D99" i="8"/>
  <c r="G172" i="8"/>
  <c r="D4" i="8"/>
  <c r="Z2" i="8"/>
  <c r="D143" i="8"/>
  <c r="D79" i="8"/>
  <c r="D15" i="8"/>
  <c r="J55" i="8"/>
  <c r="AH13" i="8"/>
  <c r="J6" i="8"/>
  <c r="D174" i="8"/>
  <c r="D110" i="8"/>
  <c r="D46" i="8"/>
  <c r="G180" i="8"/>
  <c r="M26" i="8"/>
  <c r="AD9" i="8"/>
  <c r="T2" i="8"/>
  <c r="D141" i="8"/>
  <c r="D77" i="8"/>
  <c r="D13" i="8"/>
  <c r="T50" i="8"/>
  <c r="G13" i="8"/>
  <c r="AH5" i="8"/>
  <c r="T18" i="8"/>
  <c r="D107" i="8"/>
  <c r="J11" i="8"/>
  <c r="D100" i="8"/>
  <c r="D12" i="8"/>
  <c r="AH4" i="8"/>
  <c r="G141" i="8"/>
  <c r="W22" i="8"/>
  <c r="AP8" i="8"/>
  <c r="D199" i="8"/>
  <c r="D135" i="8"/>
  <c r="D71" i="8"/>
  <c r="D7" i="8"/>
  <c r="T42" i="8"/>
  <c r="W12" i="8"/>
  <c r="M5" i="8"/>
  <c r="D166" i="8"/>
  <c r="D102" i="8"/>
  <c r="D38" i="8"/>
  <c r="AP132" i="8"/>
  <c r="T21" i="8"/>
  <c r="AD8" i="8"/>
  <c r="D197" i="8"/>
  <c r="D133" i="8"/>
  <c r="D69" i="8"/>
  <c r="D5" i="8"/>
  <c r="G40" i="8"/>
  <c r="J12" i="8"/>
  <c r="AP4" i="8"/>
  <c r="T11" i="8"/>
  <c r="D84" i="8"/>
  <c r="D188" i="8"/>
  <c r="D82" i="8"/>
  <c r="M12" i="8"/>
  <c r="AP12" i="8"/>
  <c r="W7" i="8"/>
  <c r="D60" i="8"/>
  <c r="AH6" i="8"/>
  <c r="D59" i="8"/>
  <c r="Z6" i="8"/>
  <c r="D58" i="8"/>
  <c r="G5" i="8"/>
  <c r="D50" i="8"/>
  <c r="D44" i="8"/>
  <c r="D90" i="8"/>
  <c r="AP24" i="8"/>
  <c r="AP3" i="8"/>
  <c r="D42" i="8"/>
  <c r="M3" i="8"/>
  <c r="D36" i="8"/>
  <c r="G3" i="8"/>
  <c r="D35" i="8"/>
  <c r="D196" i="8"/>
  <c r="D27" i="8"/>
  <c r="AP120" i="8"/>
  <c r="AD48" i="8"/>
  <c r="D116" i="8"/>
  <c r="D170" i="8"/>
  <c r="G236" i="8"/>
  <c r="D164" i="8"/>
  <c r="G220" i="8"/>
  <c r="D163" i="8"/>
  <c r="AP128" i="8"/>
  <c r="D155" i="8"/>
  <c r="D162" i="8"/>
  <c r="G2" i="8"/>
  <c r="D75" i="8"/>
  <c r="T8" i="8"/>
  <c r="AP87" i="8"/>
  <c r="D147" i="8"/>
  <c r="AP64" i="8"/>
  <c r="D146" i="8"/>
  <c r="AD61" i="8"/>
  <c r="D140" i="8"/>
  <c r="J41" i="8"/>
  <c r="D132" i="8"/>
  <c r="D108" i="8"/>
  <c r="D92" i="8"/>
  <c r="D26" i="8"/>
  <c r="AD34" i="8"/>
  <c r="D124" i="8"/>
  <c r="AP30" i="8"/>
  <c r="D123" i="8"/>
  <c r="AD29" i="8"/>
  <c r="D122" i="8"/>
  <c r="M21" i="8"/>
  <c r="D114" i="8"/>
  <c r="D51" i="8"/>
  <c r="G12" i="8"/>
  <c r="AP39" i="8"/>
  <c r="D3" i="8"/>
  <c r="J13" i="8"/>
  <c r="D154" i="8"/>
  <c r="D28" i="8"/>
  <c r="D172" i="8"/>
  <c r="D115" i="8"/>
  <c r="T20" i="8"/>
  <c r="D156" i="8"/>
  <c r="D34" i="8"/>
  <c r="Z9" i="8"/>
  <c r="J26" i="8"/>
  <c r="AD5" i="8"/>
  <c r="D98" i="8"/>
  <c r="G52" i="8"/>
  <c r="D195" i="8"/>
  <c r="D131" i="8"/>
  <c r="V23" i="27"/>
  <c r="W23" i="27" s="1"/>
  <c r="S2" i="27"/>
  <c r="V21" i="27" l="1"/>
  <c r="V26" i="27"/>
  <c r="W26" i="27" s="1"/>
  <c r="V24" i="27"/>
  <c r="W24" i="27" s="1"/>
  <c r="S3" i="27"/>
  <c r="V7" i="27" s="1"/>
  <c r="V22" i="27"/>
  <c r="V20" i="27"/>
  <c r="W7" i="27" l="1"/>
  <c r="W20" i="27"/>
</calcChain>
</file>

<file path=xl/sharedStrings.xml><?xml version="1.0" encoding="utf-8"?>
<sst xmlns="http://schemas.openxmlformats.org/spreadsheetml/2006/main" count="4999" uniqueCount="1383">
  <si>
    <t>Half profile 39.5</t>
  </si>
  <si>
    <t>Half profile 40.5</t>
  </si>
  <si>
    <t>Half profile 42.5</t>
  </si>
  <si>
    <t>Half profile 49.5</t>
  </si>
  <si>
    <t>Half profile 52.5</t>
  </si>
  <si>
    <t>Half profile 54.5</t>
  </si>
  <si>
    <t>Half profile 57.5</t>
  </si>
  <si>
    <t>Half profile 59.5</t>
  </si>
  <si>
    <t>Half profile 64.5</t>
  </si>
  <si>
    <t>Half profile 69.5</t>
  </si>
  <si>
    <t>Half profile 74.5</t>
  </si>
  <si>
    <t>Half profile 77.5</t>
  </si>
  <si>
    <t>Half profile 84.5</t>
  </si>
  <si>
    <t>BOX</t>
  </si>
  <si>
    <t>KIK Cylinder</t>
  </si>
  <si>
    <t>Swiss Cylinder</t>
  </si>
  <si>
    <t>Mortise Cylinder</t>
  </si>
  <si>
    <t>Rim Cylinder</t>
  </si>
  <si>
    <t>Double profile 62/66</t>
  </si>
  <si>
    <t>Double profile 70/71/72</t>
  </si>
  <si>
    <t>Double profile 75/76/77</t>
  </si>
  <si>
    <t>Double profile 80/81</t>
  </si>
  <si>
    <t>Double profile 85/86</t>
  </si>
  <si>
    <t>Double profile 90/91</t>
  </si>
  <si>
    <t>Double profile 95/96</t>
  </si>
  <si>
    <t>Double profile 100/101</t>
  </si>
  <si>
    <t>Double profile 105/106</t>
  </si>
  <si>
    <t>Double profile 110/111</t>
  </si>
  <si>
    <t>Cylinder unassembled</t>
  </si>
  <si>
    <t>Padlock unassembled</t>
  </si>
  <si>
    <t>Without padlock cylinder</t>
  </si>
  <si>
    <t>Padlock C10</t>
  </si>
  <si>
    <t>Padlock C13</t>
  </si>
  <si>
    <t>Padlock C8</t>
  </si>
  <si>
    <t>Padlock C16</t>
  </si>
  <si>
    <t>Padlock C35</t>
  </si>
  <si>
    <t>Padlock C6</t>
  </si>
  <si>
    <t>Padlock G55</t>
  </si>
  <si>
    <t>Padlock G47</t>
  </si>
  <si>
    <t>C1 paclock G</t>
  </si>
  <si>
    <t>C2 paclock G</t>
  </si>
  <si>
    <t>C3 paclock G</t>
  </si>
  <si>
    <t>Single pin padlock without shackle</t>
  </si>
  <si>
    <t>ASSA Type Cylinder</t>
  </si>
  <si>
    <t>CISA Type Cylinder</t>
  </si>
  <si>
    <t>Spacer ring 8.9mm</t>
  </si>
  <si>
    <t>Spacer ring 12.2mm</t>
  </si>
  <si>
    <t>KIK Body</t>
  </si>
  <si>
    <t>ASSA Body</t>
  </si>
  <si>
    <t>Body half profile 39.5</t>
  </si>
  <si>
    <t>Body half profile 40.5</t>
  </si>
  <si>
    <t>Body half profile 42.5</t>
  </si>
  <si>
    <t>Body half profile 44.5</t>
  </si>
  <si>
    <t>Body half profile 47.5</t>
  </si>
  <si>
    <t>Body half profile 49.5</t>
  </si>
  <si>
    <t>Body half profile 52.5</t>
  </si>
  <si>
    <t>Body half profile 54.5</t>
  </si>
  <si>
    <t>Body half profile 59.5</t>
  </si>
  <si>
    <t>Body half profile 64.5</t>
  </si>
  <si>
    <t>Body half profile 69.5</t>
  </si>
  <si>
    <t>Body half profile 74.5</t>
  </si>
  <si>
    <t>Body half profile 84.5</t>
  </si>
  <si>
    <t>Body half profile 89.5</t>
  </si>
  <si>
    <t>Body Mortise 1"</t>
  </si>
  <si>
    <t>Body Mortise 1" 1/8</t>
  </si>
  <si>
    <t>Body Mortise 1" 1/4</t>
  </si>
  <si>
    <t>Body Mortise 1" 3/8</t>
  </si>
  <si>
    <t>Body Mortise 1" 1/2</t>
  </si>
  <si>
    <t>Body Mortise 1" 3/4</t>
  </si>
  <si>
    <t>Body Mortise 2"</t>
  </si>
  <si>
    <t>Body Rim 35</t>
  </si>
  <si>
    <t>Cam 19 7/8</t>
  </si>
  <si>
    <t>Euro Plugs</t>
  </si>
  <si>
    <t>Rim/Mortise Plugs</t>
  </si>
  <si>
    <t>KIK Plugs</t>
  </si>
  <si>
    <t>ASSA Plugs</t>
  </si>
  <si>
    <t>Padlock Plugs</t>
  </si>
  <si>
    <t>Plug 15 Corbi 5 pins</t>
  </si>
  <si>
    <t>Plug cam 19 39.6</t>
  </si>
  <si>
    <t>Plug cam 19 42</t>
  </si>
  <si>
    <t>Plug cam 19 46</t>
  </si>
  <si>
    <t>Plug cam 19 56 5 pins</t>
  </si>
  <si>
    <t>Plug cam 22 36 4 pins</t>
  </si>
  <si>
    <t>Plug cam 22 40.8</t>
  </si>
  <si>
    <t>Plug cam 22 51.8 5 pins</t>
  </si>
  <si>
    <t>Plug cam 29 37 4 pins</t>
  </si>
  <si>
    <t>Plug cam 29 42 5 pins</t>
  </si>
  <si>
    <t>Plug Drawer 39.3 5 pins</t>
  </si>
  <si>
    <t>Plug euro\union 29.5</t>
  </si>
  <si>
    <t>Plug euro\union 32.5</t>
  </si>
  <si>
    <t>Plug euro\union 34.5</t>
  </si>
  <si>
    <t>Plug euro\union 37.5</t>
  </si>
  <si>
    <t>Plug euro\union 39.5</t>
  </si>
  <si>
    <t>Plug euro\union 42.5</t>
  </si>
  <si>
    <t>Plug euro\union 44.5</t>
  </si>
  <si>
    <t>Plug euro\union 47.5</t>
  </si>
  <si>
    <t>Plug euro\union 49.5</t>
  </si>
  <si>
    <t>Plug euro\union 52.5</t>
  </si>
  <si>
    <t>Plug euro\union 54.5</t>
  </si>
  <si>
    <t>Plug euro\union 59.5</t>
  </si>
  <si>
    <t>Plug euro\union 64.5</t>
  </si>
  <si>
    <t>Plug euro\union 69.5</t>
  </si>
  <si>
    <t>Plug euro\union 74.5</t>
  </si>
  <si>
    <t>Plug euro\union 87.5</t>
  </si>
  <si>
    <t>Plug euro\union 89.5</t>
  </si>
  <si>
    <t>Plug KIK 13.9  Wiser</t>
  </si>
  <si>
    <t>Plug KIK 13.9  Wiser 4 pins</t>
  </si>
  <si>
    <t>Plug KIK 14.5 - line 10</t>
  </si>
  <si>
    <t>Plug KIK 14.6 - line 8</t>
  </si>
  <si>
    <t>Plug KIK 15.8  4 pins</t>
  </si>
  <si>
    <t>Plug KIK 15.8  5 pins</t>
  </si>
  <si>
    <t>Plug KIK 15.8  Arrow</t>
  </si>
  <si>
    <t>Plug Mortise 1"1/2 41.2</t>
  </si>
  <si>
    <t>Plug Mortise 1"1/4 34.8</t>
  </si>
  <si>
    <t>Plug Mortise 1"3/4 47.6</t>
  </si>
  <si>
    <t>Plug Mortise 1"3/8 38</t>
  </si>
  <si>
    <t>Plug Mortise 2" 54</t>
  </si>
  <si>
    <t>Plug Mortise 2"3/8 63.6</t>
  </si>
  <si>
    <t>Fichet Type Cylinder</t>
  </si>
  <si>
    <t>Half profile 44.5</t>
  </si>
  <si>
    <t>Half profile 47.5</t>
  </si>
  <si>
    <t>Double profile 115/116</t>
  </si>
  <si>
    <t>Double profile 120/121</t>
  </si>
  <si>
    <t>Double profile 125/126</t>
  </si>
  <si>
    <t>Double profile 130/131</t>
  </si>
  <si>
    <t>Double profile 135/136</t>
  </si>
  <si>
    <t>Double profile 140/141</t>
  </si>
  <si>
    <t>Rim 35</t>
  </si>
  <si>
    <t>b-kik sargent line 11</t>
  </si>
  <si>
    <t>b-kik sargent line 8</t>
  </si>
  <si>
    <t>b-kik 5pins</t>
  </si>
  <si>
    <t>b-kik 4pins</t>
  </si>
  <si>
    <t>plug rim lips</t>
  </si>
  <si>
    <t>SBG12</t>
  </si>
  <si>
    <t>SBG10</t>
  </si>
  <si>
    <t>SBE 13</t>
  </si>
  <si>
    <t>sbe 11</t>
  </si>
  <si>
    <t>Rim Lips</t>
  </si>
  <si>
    <t>push lock- window lock 61.5</t>
  </si>
  <si>
    <t>b- assa 33.8</t>
  </si>
  <si>
    <t>plug icc 15.5</t>
  </si>
  <si>
    <t>plug assa 34.8</t>
  </si>
  <si>
    <t>plug 920 47.7</t>
  </si>
  <si>
    <t>PERSEUS</t>
  </si>
  <si>
    <t>padlock HS - TB</t>
  </si>
  <si>
    <t>padlock G 60</t>
  </si>
  <si>
    <t>padlock c35</t>
  </si>
  <si>
    <t>MPL LEVEL 4</t>
  </si>
  <si>
    <t>Drawer lock 5 pins</t>
  </si>
  <si>
    <t>Drawer lock 4 pins</t>
  </si>
  <si>
    <t>Plug Drawer 5 pins</t>
  </si>
  <si>
    <t>Plug Drawer 4 pins</t>
  </si>
  <si>
    <t>cyl Drawer 5 pins</t>
  </si>
  <si>
    <t>cyl Drawer 4 pins</t>
  </si>
  <si>
    <t xml:space="preserve">cyl Drawer 39.3 </t>
  </si>
  <si>
    <t>cyl CIERRA</t>
  </si>
  <si>
    <t>cyl 920</t>
  </si>
  <si>
    <t>B-PMK MIWA</t>
  </si>
  <si>
    <t>P-HPD MIWA</t>
  </si>
  <si>
    <t>P-PMK MIWA</t>
  </si>
  <si>
    <t>plug mortise 50.8</t>
  </si>
  <si>
    <t>Plug Mortise 31.7</t>
  </si>
  <si>
    <t>Plug Mortise 1"1/8 31.6</t>
  </si>
  <si>
    <t>plug mortise</t>
  </si>
  <si>
    <t>plug kik 15 LINE 11</t>
  </si>
  <si>
    <t>plug kik 15 - 5 pins</t>
  </si>
  <si>
    <t>plug kik 15 - 4 pins</t>
  </si>
  <si>
    <t>plug kik 14 - line 11</t>
  </si>
  <si>
    <t>Plug KIK 13.8  2 pins</t>
  </si>
  <si>
    <t>Plug euro\union 99.5</t>
  </si>
  <si>
    <t>Plug euro\union 97.5</t>
  </si>
  <si>
    <t>Plug euro\union 94.5</t>
  </si>
  <si>
    <t>Plug euro\union 92.5</t>
  </si>
  <si>
    <t>Plug euro\union 84.5</t>
  </si>
  <si>
    <t>Plug euro\union 82.5</t>
  </si>
  <si>
    <t>Plug euro\union 79.5</t>
  </si>
  <si>
    <t>Plug euro\union 77.5</t>
  </si>
  <si>
    <t>Plug euro\union 72.5</t>
  </si>
  <si>
    <t>Plug euro\union 67.5</t>
  </si>
  <si>
    <t>Plug euro\union 62.5</t>
  </si>
  <si>
    <t>Plug euro\union 57.5</t>
  </si>
  <si>
    <t>Plug euro\union 31</t>
  </si>
  <si>
    <t>Plug euro\union 26.5</t>
  </si>
  <si>
    <t>Plug euro\union 22.5</t>
  </si>
  <si>
    <t>plug cam 22  31.2 3 pins</t>
  </si>
  <si>
    <t>plug cam 19  56.9</t>
  </si>
  <si>
    <t>plug cam 19  55.2</t>
  </si>
  <si>
    <t>Plug cam 19 54.5</t>
  </si>
  <si>
    <t>plug cam 19  48.4</t>
  </si>
  <si>
    <t>Plug cam 19 46.7</t>
  </si>
  <si>
    <t>plug cam 19 - 40.3</t>
  </si>
  <si>
    <t>Plug cam 19 34.3</t>
  </si>
  <si>
    <t>PADBARS 18</t>
  </si>
  <si>
    <t>PADBARS 14</t>
  </si>
  <si>
    <t>PADBARS 11</t>
  </si>
  <si>
    <t>PADBARS 8</t>
  </si>
  <si>
    <t>Posters &amp; Brochures</t>
  </si>
  <si>
    <t>9S</t>
  </si>
  <si>
    <t>Models</t>
  </si>
  <si>
    <t>9R</t>
  </si>
  <si>
    <t>Advertising</t>
  </si>
  <si>
    <t>9Q</t>
  </si>
  <si>
    <t>Parts for K.C.M</t>
  </si>
  <si>
    <t>9O</t>
  </si>
  <si>
    <t>Compact KCM</t>
  </si>
  <si>
    <t>9N</t>
  </si>
  <si>
    <t>Full size KCM</t>
  </si>
  <si>
    <t>9M</t>
  </si>
  <si>
    <t>BH MIWA</t>
  </si>
  <si>
    <t>HPD MIWA</t>
  </si>
  <si>
    <t>Stands</t>
  </si>
  <si>
    <t>9K</t>
  </si>
  <si>
    <t>NDR MIWA</t>
  </si>
  <si>
    <t>Shackle for VPS</t>
  </si>
  <si>
    <t>9J</t>
  </si>
  <si>
    <t>PMK MIWA</t>
  </si>
  <si>
    <t>Parts for VPS</t>
  </si>
  <si>
    <t>9I</t>
  </si>
  <si>
    <t>MIWA SWLSP</t>
  </si>
  <si>
    <t>Container lock</t>
  </si>
  <si>
    <t>9H</t>
  </si>
  <si>
    <t>RA MIWA</t>
  </si>
  <si>
    <t>Trailer Ring Lock</t>
  </si>
  <si>
    <t>9G</t>
  </si>
  <si>
    <t>LIX MIWA</t>
  </si>
  <si>
    <t>King Pin Lock</t>
  </si>
  <si>
    <t>9F</t>
  </si>
  <si>
    <t>KS MIWA</t>
  </si>
  <si>
    <t>Hood lock</t>
  </si>
  <si>
    <t>9E</t>
  </si>
  <si>
    <t>LA MIWA</t>
  </si>
  <si>
    <t>CSL</t>
  </si>
  <si>
    <t>9D</t>
  </si>
  <si>
    <t>kik 16 6.3 5 pins</t>
  </si>
  <si>
    <t>TRX</t>
  </si>
  <si>
    <t>9C</t>
  </si>
  <si>
    <t>kik 16 6.3 4 pins</t>
  </si>
  <si>
    <t>Cylinder for MVP</t>
  </si>
  <si>
    <t>9B</t>
  </si>
  <si>
    <t>KIK 15.8  Arrow</t>
  </si>
  <si>
    <t>CTL 57</t>
  </si>
  <si>
    <t>9A</t>
  </si>
  <si>
    <t>KIK 14.6 - line 8</t>
  </si>
  <si>
    <t>CTL 53</t>
  </si>
  <si>
    <t>8Z</t>
  </si>
  <si>
    <t>KIK 14.5 - line 11</t>
  </si>
  <si>
    <t>CTL 52</t>
  </si>
  <si>
    <t>8Y</t>
  </si>
  <si>
    <t>KIK 14.5 - line 10 Arrow</t>
  </si>
  <si>
    <t>CTL 50</t>
  </si>
  <si>
    <t>8X</t>
  </si>
  <si>
    <t>KIK 14.5 - line 10</t>
  </si>
  <si>
    <t>CTL 45</t>
  </si>
  <si>
    <t>8W</t>
  </si>
  <si>
    <t>kik 14</t>
  </si>
  <si>
    <t>CTL 22</t>
  </si>
  <si>
    <t>8V</t>
  </si>
  <si>
    <t>kik 13.9</t>
  </si>
  <si>
    <t>kik 6.3</t>
  </si>
  <si>
    <t>Safes</t>
  </si>
  <si>
    <t>8T</t>
  </si>
  <si>
    <t>kik 5.3</t>
  </si>
  <si>
    <t>Parts for Doors</t>
  </si>
  <si>
    <t>8R</t>
  </si>
  <si>
    <t>ProQsimity</t>
  </si>
  <si>
    <t>8P</t>
  </si>
  <si>
    <t>Electric strikes</t>
  </si>
  <si>
    <t>8N</t>
  </si>
  <si>
    <t>Door Closers</t>
  </si>
  <si>
    <t>8L</t>
  </si>
  <si>
    <t>Half profile 99.5</t>
  </si>
  <si>
    <t>Half profile 89.5</t>
  </si>
  <si>
    <t>T-Handle lock</t>
  </si>
  <si>
    <t>8F</t>
  </si>
  <si>
    <t>Half profile 72.5</t>
  </si>
  <si>
    <t>Bullet Shutter lock</t>
  </si>
  <si>
    <t>8E</t>
  </si>
  <si>
    <t>Drawer lock</t>
  </si>
  <si>
    <t>8D</t>
  </si>
  <si>
    <t>half profile 67.5</t>
  </si>
  <si>
    <t>Push lock</t>
  </si>
  <si>
    <t>8C</t>
  </si>
  <si>
    <t>Filing cabinet lock</t>
  </si>
  <si>
    <t>8B</t>
  </si>
  <si>
    <t>half profile 64</t>
  </si>
  <si>
    <t>Alarm Cylinder</t>
  </si>
  <si>
    <t>8A</t>
  </si>
  <si>
    <t>half profile 62.5</t>
  </si>
  <si>
    <t>Switch 29</t>
  </si>
  <si>
    <t>7Z</t>
  </si>
  <si>
    <t>Switch 22</t>
  </si>
  <si>
    <t>7Y</t>
  </si>
  <si>
    <t>Switch 19</t>
  </si>
  <si>
    <t>7X</t>
  </si>
  <si>
    <t>Multibolt Locking for Cabinet</t>
  </si>
  <si>
    <t>7W</t>
  </si>
  <si>
    <t>Cam 29</t>
  </si>
  <si>
    <t>7V</t>
  </si>
  <si>
    <t>Cam 22</t>
  </si>
  <si>
    <t>7U</t>
  </si>
  <si>
    <t>Cam 19</t>
  </si>
  <si>
    <t>7T</t>
  </si>
  <si>
    <t>Half profile 36.5</t>
  </si>
  <si>
    <t>GOAL AD</t>
  </si>
  <si>
    <t>GOAL 6</t>
  </si>
  <si>
    <t>Hasp lock</t>
  </si>
  <si>
    <t>7I</t>
  </si>
  <si>
    <t>Hasp &amp; Padlock C16</t>
  </si>
  <si>
    <t>7H</t>
  </si>
  <si>
    <t>FICHET MORTISE</t>
  </si>
  <si>
    <t>Hasp &amp; Padlock C13</t>
  </si>
  <si>
    <t>7G</t>
  </si>
  <si>
    <t>Hasp &amp; Padlock C10</t>
  </si>
  <si>
    <t>7F</t>
  </si>
  <si>
    <t>Shackle Protector 16</t>
  </si>
  <si>
    <t>7E</t>
  </si>
  <si>
    <t>Shackle Protector 13</t>
  </si>
  <si>
    <t>7D</t>
  </si>
  <si>
    <t>Shackle Protector 10</t>
  </si>
  <si>
    <t>7C</t>
  </si>
  <si>
    <t>Hasp 16</t>
  </si>
  <si>
    <t>7B</t>
  </si>
  <si>
    <t>Hasp 13</t>
  </si>
  <si>
    <t>7A</t>
  </si>
  <si>
    <t>Double profile 136</t>
  </si>
  <si>
    <t>Hasp 10</t>
  </si>
  <si>
    <t>6Z</t>
  </si>
  <si>
    <t>Parts for Padlocks</t>
  </si>
  <si>
    <t>6Y</t>
  </si>
  <si>
    <t>Double profile 131</t>
  </si>
  <si>
    <t>Round padlocks</t>
  </si>
  <si>
    <t>6X</t>
  </si>
  <si>
    <t>Padlock TSR</t>
  </si>
  <si>
    <t>6W</t>
  </si>
  <si>
    <t>Double profile 126</t>
  </si>
  <si>
    <t>Double profile 121</t>
  </si>
  <si>
    <t>Double profile 118</t>
  </si>
  <si>
    <t>Double profile 116</t>
  </si>
  <si>
    <t>Padlock G5</t>
  </si>
  <si>
    <t>6Q</t>
  </si>
  <si>
    <t>Padlock SBG</t>
  </si>
  <si>
    <t>6P</t>
  </si>
  <si>
    <t>Double profile 111</t>
  </si>
  <si>
    <t>6N</t>
  </si>
  <si>
    <t>double profile 108</t>
  </si>
  <si>
    <t>6M</t>
  </si>
  <si>
    <t>Double profile 106</t>
  </si>
  <si>
    <t>6L</t>
  </si>
  <si>
    <t>6K</t>
  </si>
  <si>
    <t>double profile 102</t>
  </si>
  <si>
    <t>Padlock C13 Single Pin</t>
  </si>
  <si>
    <t>6J</t>
  </si>
  <si>
    <t>Double profile 101</t>
  </si>
  <si>
    <t>6I</t>
  </si>
  <si>
    <t>6H</t>
  </si>
  <si>
    <t>double profile 99</t>
  </si>
  <si>
    <t>6G</t>
  </si>
  <si>
    <t>double profile 97</t>
  </si>
  <si>
    <t>6F</t>
  </si>
  <si>
    <t>Double profile 96</t>
  </si>
  <si>
    <t>Double profile 93</t>
  </si>
  <si>
    <t>Double profile 92</t>
  </si>
  <si>
    <t>Double profile 91</t>
  </si>
  <si>
    <t>Double profile 88</t>
  </si>
  <si>
    <t>Double profile 87</t>
  </si>
  <si>
    <t>Double profile 86</t>
  </si>
  <si>
    <t>Double profile 84</t>
  </si>
  <si>
    <t>Parts for 700 Locks</t>
  </si>
  <si>
    <t>5U</t>
  </si>
  <si>
    <t>Double profile 83</t>
  </si>
  <si>
    <t>700 Locks</t>
  </si>
  <si>
    <t>5T</t>
  </si>
  <si>
    <t>Double profile 82</t>
  </si>
  <si>
    <t>MPL 200 Locks</t>
  </si>
  <si>
    <t>5S</t>
  </si>
  <si>
    <t>Double profile 81</t>
  </si>
  <si>
    <t>Top Guard</t>
  </si>
  <si>
    <t>5R</t>
  </si>
  <si>
    <t>5Q</t>
  </si>
  <si>
    <t>Double profile 79</t>
  </si>
  <si>
    <t>600 Series Locks</t>
  </si>
  <si>
    <t>5P</t>
  </si>
  <si>
    <t>Double profile 78</t>
  </si>
  <si>
    <t>265 Locks</t>
  </si>
  <si>
    <t>5O</t>
  </si>
  <si>
    <t>Double profile 77</t>
  </si>
  <si>
    <t>235 Locks</t>
  </si>
  <si>
    <t>5N</t>
  </si>
  <si>
    <t>Double profile 76</t>
  </si>
  <si>
    <t>250 Locks</t>
  </si>
  <si>
    <t>5M</t>
  </si>
  <si>
    <t>240 Locks</t>
  </si>
  <si>
    <t>5L</t>
  </si>
  <si>
    <t>Double profile 73</t>
  </si>
  <si>
    <t>231/232 Locks</t>
  </si>
  <si>
    <t>5K</t>
  </si>
  <si>
    <t>Double profile 72</t>
  </si>
  <si>
    <t>Double profile 71</t>
  </si>
  <si>
    <t>Double profile 69</t>
  </si>
  <si>
    <t>Double profile 68</t>
  </si>
  <si>
    <t>Double profile 67</t>
  </si>
  <si>
    <t>Parts for Deadbolts</t>
  </si>
  <si>
    <t>5E</t>
  </si>
  <si>
    <t>Double profile 66</t>
  </si>
  <si>
    <t>Cronus double</t>
  </si>
  <si>
    <t>5D</t>
  </si>
  <si>
    <t>Double profile 65</t>
  </si>
  <si>
    <t>Captive Hercular</t>
  </si>
  <si>
    <t>5C</t>
  </si>
  <si>
    <t>double profile 64</t>
  </si>
  <si>
    <t>Double Hercular</t>
  </si>
  <si>
    <t>5B</t>
  </si>
  <si>
    <t>Double profile 62</t>
  </si>
  <si>
    <t>Single Hercular</t>
  </si>
  <si>
    <t>5A</t>
  </si>
  <si>
    <t>Double profile 58</t>
  </si>
  <si>
    <t>Double profile 54</t>
  </si>
  <si>
    <t>Double profile 52</t>
  </si>
  <si>
    <t>Double profile 46</t>
  </si>
  <si>
    <t>cam 22 38.3</t>
  </si>
  <si>
    <t>cam 22 27.3</t>
  </si>
  <si>
    <t>cam 19 5/8</t>
  </si>
  <si>
    <t>Cam 19 1 1/2</t>
  </si>
  <si>
    <t>Cam 19 1 1/8</t>
  </si>
  <si>
    <t>Body rim lips</t>
  </si>
  <si>
    <t>4H</t>
  </si>
  <si>
    <t>Cronus knob</t>
  </si>
  <si>
    <t>4G</t>
  </si>
  <si>
    <t>Body half profile 104.5</t>
  </si>
  <si>
    <t>4F</t>
  </si>
  <si>
    <t>Body half profile 99.5</t>
  </si>
  <si>
    <t>20 Diameter Plugs</t>
  </si>
  <si>
    <t>4E</t>
  </si>
  <si>
    <t>Body half profile 94.5</t>
  </si>
  <si>
    <t>4D</t>
  </si>
  <si>
    <t>4C</t>
  </si>
  <si>
    <t>CISA Plugs</t>
  </si>
  <si>
    <t>4B</t>
  </si>
  <si>
    <t>4A</t>
  </si>
  <si>
    <t>3Z</t>
  </si>
  <si>
    <t>3Y</t>
  </si>
  <si>
    <t>3X</t>
  </si>
  <si>
    <t>Spanish Oval Body</t>
  </si>
  <si>
    <t>3W</t>
  </si>
  <si>
    <t>Shutters Body</t>
  </si>
  <si>
    <t>3V</t>
  </si>
  <si>
    <t>Scandinavian Body</t>
  </si>
  <si>
    <t>3U</t>
  </si>
  <si>
    <t>Pushlock Body</t>
  </si>
  <si>
    <t>3T</t>
  </si>
  <si>
    <t>Ingersol Body</t>
  </si>
  <si>
    <t>3S</t>
  </si>
  <si>
    <t>Body half profile 57.5</t>
  </si>
  <si>
    <t>Hercular Body</t>
  </si>
  <si>
    <t>3R</t>
  </si>
  <si>
    <t>File Cabinet Body</t>
  </si>
  <si>
    <t>3Q</t>
  </si>
  <si>
    <t>Fichet Body</t>
  </si>
  <si>
    <t>3P</t>
  </si>
  <si>
    <t>Drawer Lock Body</t>
  </si>
  <si>
    <t>3O</t>
  </si>
  <si>
    <t>Alarm Body</t>
  </si>
  <si>
    <t>3N</t>
  </si>
  <si>
    <t>Switch Body</t>
  </si>
  <si>
    <t>3M</t>
  </si>
  <si>
    <t>Cam Body</t>
  </si>
  <si>
    <t>3L</t>
  </si>
  <si>
    <t>CISA Body</t>
  </si>
  <si>
    <t>3K</t>
  </si>
  <si>
    <t>3J</t>
  </si>
  <si>
    <t>Body Double profile 151</t>
  </si>
  <si>
    <t>3I</t>
  </si>
  <si>
    <t>Mortise Body</t>
  </si>
  <si>
    <t>3H</t>
  </si>
  <si>
    <t>Rim Body</t>
  </si>
  <si>
    <t>3G</t>
  </si>
  <si>
    <t>3F</t>
  </si>
  <si>
    <t>Body Double profile 131</t>
  </si>
  <si>
    <t>3E</t>
  </si>
  <si>
    <t>Temporary key</t>
  </si>
  <si>
    <t>3D</t>
  </si>
  <si>
    <t>Body Double profile 126</t>
  </si>
  <si>
    <t>Control Keys</t>
  </si>
  <si>
    <t>3C</t>
  </si>
  <si>
    <t>User Keys</t>
  </si>
  <si>
    <t>3B</t>
  </si>
  <si>
    <t>Body Double profile 121</t>
  </si>
  <si>
    <t>Quartz Keys</t>
  </si>
  <si>
    <t>3A</t>
  </si>
  <si>
    <t>Key Cards</t>
  </si>
  <si>
    <t>2Z</t>
  </si>
  <si>
    <t>cust comb 3in1</t>
  </si>
  <si>
    <t>Body Double profile 116</t>
  </si>
  <si>
    <t>2Y</t>
  </si>
  <si>
    <t>service 3in1</t>
  </si>
  <si>
    <t>Metal Keys</t>
  </si>
  <si>
    <t>2X</t>
  </si>
  <si>
    <t>master 3in1</t>
  </si>
  <si>
    <t>Body Double profile 111</t>
  </si>
  <si>
    <t>Plastic Keys</t>
  </si>
  <si>
    <t>2W</t>
  </si>
  <si>
    <t>40 Synerkey blanks</t>
  </si>
  <si>
    <t>2V</t>
  </si>
  <si>
    <t>Body Double profile 106</t>
  </si>
  <si>
    <t>50 Metal Key blanks</t>
  </si>
  <si>
    <t>2U</t>
  </si>
  <si>
    <t>50 Plastic Key blanks</t>
  </si>
  <si>
    <t>2T</t>
  </si>
  <si>
    <t>cust comb</t>
  </si>
  <si>
    <t>Body Double profile 101</t>
  </si>
  <si>
    <t>Parts for CliQ</t>
  </si>
  <si>
    <t>2S</t>
  </si>
  <si>
    <t>Disconnect Knob sets</t>
  </si>
  <si>
    <t>2R</t>
  </si>
  <si>
    <t>5 user key</t>
  </si>
  <si>
    <t>Body Double profile 96</t>
  </si>
  <si>
    <t>Knob sets</t>
  </si>
  <si>
    <t>2Q</t>
  </si>
  <si>
    <t>4 user key</t>
  </si>
  <si>
    <t>Parts for Cylinders</t>
  </si>
  <si>
    <t>2P</t>
  </si>
  <si>
    <t>3 user key</t>
  </si>
  <si>
    <t>Body Double profile 93</t>
  </si>
  <si>
    <t>Vingcard Cylinder</t>
  </si>
  <si>
    <t>2O</t>
  </si>
  <si>
    <t>Hercular  without plug \ keys \ rosette &amp; cover</t>
  </si>
  <si>
    <t>Body Double profile 92</t>
  </si>
  <si>
    <t>Vega Cylinder</t>
  </si>
  <si>
    <t>2N</t>
  </si>
  <si>
    <t>Hercular without plug &amp; keys</t>
  </si>
  <si>
    <t>Body Double profile 91</t>
  </si>
  <si>
    <t>Toro/Vachette Cylinder</t>
  </si>
  <si>
    <t>2M</t>
  </si>
  <si>
    <t>without double</t>
  </si>
  <si>
    <t>Titan Cylinder</t>
  </si>
  <si>
    <t>2L</t>
  </si>
  <si>
    <t>Body Double profile 86</t>
  </si>
  <si>
    <t>ST &amp; ST2  Cylinder</t>
  </si>
  <si>
    <t>2K</t>
  </si>
  <si>
    <t>master double</t>
  </si>
  <si>
    <t>Spanish Oval Cylinder</t>
  </si>
  <si>
    <t>2J</t>
  </si>
  <si>
    <t>master</t>
  </si>
  <si>
    <t>Body Double profile 83</t>
  </si>
  <si>
    <t>Scandinavian Cylinder</t>
  </si>
  <si>
    <t>2I</t>
  </si>
  <si>
    <t>service single</t>
  </si>
  <si>
    <t>Body Double profile 82</t>
  </si>
  <si>
    <t>Ruko Cylinder</t>
  </si>
  <si>
    <t>2H</t>
  </si>
  <si>
    <t>withour padlock c8</t>
  </si>
  <si>
    <t>without single</t>
  </si>
  <si>
    <t>Body Double profile 81</t>
  </si>
  <si>
    <t>Reinforced Rim Cylinder</t>
  </si>
  <si>
    <t>2G</t>
  </si>
  <si>
    <t>without padlock c13</t>
  </si>
  <si>
    <t>service double</t>
  </si>
  <si>
    <t>Prestige Cylinder</t>
  </si>
  <si>
    <t>2F</t>
  </si>
  <si>
    <t>without padlock c10</t>
  </si>
  <si>
    <t>service</t>
  </si>
  <si>
    <t>Body Double profile 77</t>
  </si>
  <si>
    <t>Prefer Cylinder</t>
  </si>
  <si>
    <t>2E</t>
  </si>
  <si>
    <t>Mailbox Cylinder</t>
  </si>
  <si>
    <t>2D</t>
  </si>
  <si>
    <t>Body Double profile 75</t>
  </si>
  <si>
    <t>Lockwood Cylinder</t>
  </si>
  <si>
    <t>2C</t>
  </si>
  <si>
    <t>Body Double profile 72</t>
  </si>
  <si>
    <t>KIK Schlage/Yale Cylinder</t>
  </si>
  <si>
    <t>2B</t>
  </si>
  <si>
    <t>Shutter</t>
  </si>
  <si>
    <t>Body Double profile 71</t>
  </si>
  <si>
    <t>KIK Best Cylinder</t>
  </si>
  <si>
    <t>2A</t>
  </si>
  <si>
    <t>Keso Cylinder</t>
  </si>
  <si>
    <t>1Z</t>
  </si>
  <si>
    <t>Body Double profile 67</t>
  </si>
  <si>
    <t>Ingersol Cylinder</t>
  </si>
  <si>
    <t>1Y</t>
  </si>
  <si>
    <t>Construction</t>
  </si>
  <si>
    <t>Body Double profile 66</t>
  </si>
  <si>
    <t>Emtek/Baldwin Cylinder</t>
  </si>
  <si>
    <t>1X</t>
  </si>
  <si>
    <t>TLO</t>
  </si>
  <si>
    <t>Body Double profile 65</t>
  </si>
  <si>
    <t>Deposit Cylinder</t>
  </si>
  <si>
    <t>1W</t>
  </si>
  <si>
    <t>Body Double profile 63</t>
  </si>
  <si>
    <t>City Cylinder</t>
  </si>
  <si>
    <t>1V</t>
  </si>
  <si>
    <t>Cazis Cylinder</t>
  </si>
  <si>
    <t>1U</t>
  </si>
  <si>
    <t>Body Double profile 60</t>
  </si>
  <si>
    <t>Blindex Cylinder</t>
  </si>
  <si>
    <t>1T</t>
  </si>
  <si>
    <t>Body Double profile 58</t>
  </si>
  <si>
    <t>Baldwin Mortise Cylinder</t>
  </si>
  <si>
    <t>1S</t>
  </si>
  <si>
    <t>Body Double profile 54</t>
  </si>
  <si>
    <t>Abloy Cylinder</t>
  </si>
  <si>
    <t>1R</t>
  </si>
  <si>
    <t>Body Double profile 46</t>
  </si>
  <si>
    <t>Cylinder for Padlock</t>
  </si>
  <si>
    <t>1Q</t>
  </si>
  <si>
    <t>Miscellaneous products</t>
  </si>
  <si>
    <t>b-FTH 59.5</t>
  </si>
  <si>
    <t>GOAL Cylinder</t>
  </si>
  <si>
    <t>1P</t>
  </si>
  <si>
    <t>c3 padlock c6</t>
  </si>
  <si>
    <t>7X7 keys</t>
  </si>
  <si>
    <t>b-FTH 49.5</t>
  </si>
  <si>
    <t>SHOWA Cylinder</t>
  </si>
  <si>
    <t>1O</t>
  </si>
  <si>
    <t>c2 padlock c6</t>
  </si>
  <si>
    <t>Classic Keys</t>
  </si>
  <si>
    <t>b-FTH 44.5</t>
  </si>
  <si>
    <t>MIWA Cylinder</t>
  </si>
  <si>
    <t>1N</t>
  </si>
  <si>
    <t>c1 padlock c6</t>
  </si>
  <si>
    <t>Integrator Keys</t>
  </si>
  <si>
    <t>b-FTH 32.8</t>
  </si>
  <si>
    <t>1M</t>
  </si>
  <si>
    <t>c3 padlock c16</t>
  </si>
  <si>
    <t>Interactive Keys</t>
  </si>
  <si>
    <t>b-Cam 19 7/8</t>
  </si>
  <si>
    <t>1L</t>
  </si>
  <si>
    <t>c2 padlock c16</t>
  </si>
  <si>
    <t>MT5 Keys</t>
  </si>
  <si>
    <t>b-Cam 19 1 1/8</t>
  </si>
  <si>
    <t>1K</t>
  </si>
  <si>
    <t>c1 padlock c16</t>
  </si>
  <si>
    <t>MT5+ Keys</t>
  </si>
  <si>
    <t>b-Cam 19 1 1/2</t>
  </si>
  <si>
    <t>1J</t>
  </si>
  <si>
    <t>c3 padlock c13</t>
  </si>
  <si>
    <t>b cam 22 - 27.3</t>
  </si>
  <si>
    <t>Rimo Cylinder</t>
  </si>
  <si>
    <t>1I</t>
  </si>
  <si>
    <t>c2 padlock c13</t>
  </si>
  <si>
    <t>b cam 19 29.6</t>
  </si>
  <si>
    <t>1H</t>
  </si>
  <si>
    <t>c1 padlock c13</t>
  </si>
  <si>
    <t>b cam 19 28.4</t>
  </si>
  <si>
    <t>1G</t>
  </si>
  <si>
    <t>c3 padlock c10</t>
  </si>
  <si>
    <t>7X7 products</t>
  </si>
  <si>
    <t>b cam 19 - 34.8</t>
  </si>
  <si>
    <t>Single Swiss Cylinder</t>
  </si>
  <si>
    <t>1F</t>
  </si>
  <si>
    <t>c2 padlock c10</t>
  </si>
  <si>
    <t>Classic products</t>
  </si>
  <si>
    <t>ABLOY TYPE -I</t>
  </si>
  <si>
    <t>1E</t>
  </si>
  <si>
    <t>c1 padlock c10</t>
  </si>
  <si>
    <t>Integrator products</t>
  </si>
  <si>
    <t>ABLOY TYPE</t>
  </si>
  <si>
    <t>Single UK Oval Cylinder</t>
  </si>
  <si>
    <t>1D</t>
  </si>
  <si>
    <t>c3 padlock c8</t>
  </si>
  <si>
    <t>Interactive Products</t>
  </si>
  <si>
    <t>UK Oval Cylinder</t>
  </si>
  <si>
    <t>1C</t>
  </si>
  <si>
    <t>c2 padlock c8</t>
  </si>
  <si>
    <t>MT5 Products</t>
  </si>
  <si>
    <t>Single Euro Cylinder</t>
  </si>
  <si>
    <t>1B</t>
  </si>
  <si>
    <t>c1 padlock c8</t>
  </si>
  <si>
    <t>MT5+ products</t>
  </si>
  <si>
    <t>Double Euro Cylinder</t>
  </si>
  <si>
    <t>1A</t>
  </si>
  <si>
    <t>body VDS</t>
  </si>
  <si>
    <t>plug VDS</t>
  </si>
  <si>
    <t>Body Double profile 62/66</t>
  </si>
  <si>
    <t>Body Double profile 70/71/72</t>
  </si>
  <si>
    <t>Body Double profile 75/76/77</t>
  </si>
  <si>
    <t>Body Double profile 80/81</t>
  </si>
  <si>
    <t>Body Double profile 85/86</t>
  </si>
  <si>
    <t>Body Double profile 90/91</t>
  </si>
  <si>
    <t>Body Double profile 95/96</t>
  </si>
  <si>
    <t>Body Double profile 100/101</t>
  </si>
  <si>
    <t>Body Double profile 105/106</t>
  </si>
  <si>
    <t>Body Double profile 110/111</t>
  </si>
  <si>
    <t>Body Double profile 115/116</t>
  </si>
  <si>
    <t>Body Double profile 120/121</t>
  </si>
  <si>
    <t>Body Double profile 125/126</t>
  </si>
  <si>
    <t>Body Double profile 130/131</t>
  </si>
  <si>
    <t>Body Double profile 135/136</t>
  </si>
  <si>
    <t>Body Double profile 140/141</t>
  </si>
  <si>
    <t>Plug SKG***</t>
  </si>
  <si>
    <t>C Padlock Nickel</t>
  </si>
  <si>
    <t>TLO Plug</t>
  </si>
  <si>
    <t>4 plastic keys</t>
  </si>
  <si>
    <t>5 plastic keys</t>
  </si>
  <si>
    <t>1 plastic keys</t>
  </si>
  <si>
    <t>10 plastic keys</t>
  </si>
  <si>
    <t>11 plastic keys</t>
  </si>
  <si>
    <t>12 plastic keys</t>
  </si>
  <si>
    <t>13 plastic keys</t>
  </si>
  <si>
    <t>14 plastic keys</t>
  </si>
  <si>
    <t>15 plastic keys</t>
  </si>
  <si>
    <t>2 plastic keys</t>
  </si>
  <si>
    <t>3 plastic keys</t>
  </si>
  <si>
    <t>6 plastic keys</t>
  </si>
  <si>
    <t>7 plastic keys</t>
  </si>
  <si>
    <t>8 plastic keys</t>
  </si>
  <si>
    <t>9 plastic keys</t>
  </si>
  <si>
    <t>1 ns keys</t>
  </si>
  <si>
    <t>10 ns keys</t>
  </si>
  <si>
    <t>11 ns keys</t>
  </si>
  <si>
    <t>12 ns keys</t>
  </si>
  <si>
    <t>13 ns keys</t>
  </si>
  <si>
    <t>14 ns keys</t>
  </si>
  <si>
    <t>15 ns keys</t>
  </si>
  <si>
    <t>2 ns keys</t>
  </si>
  <si>
    <t>3 ns keys</t>
  </si>
  <si>
    <t>4 ns keys</t>
  </si>
  <si>
    <t>5 ns keys</t>
  </si>
  <si>
    <t>6 ns keys</t>
  </si>
  <si>
    <t>7 ns keys</t>
  </si>
  <si>
    <t>8 ns keys</t>
  </si>
  <si>
    <t>9 ns keys</t>
  </si>
  <si>
    <t>Mortise 1"</t>
  </si>
  <si>
    <t>Mortise 1"1/8</t>
  </si>
  <si>
    <t>Mortise 1"1/4</t>
  </si>
  <si>
    <t>Mortise 1"3/8</t>
  </si>
  <si>
    <t>Mortise 1"1/2</t>
  </si>
  <si>
    <t>Mortise 1"3/4</t>
  </si>
  <si>
    <t>Mortise 2"</t>
  </si>
  <si>
    <t>Blister</t>
  </si>
  <si>
    <t>Spacer ring 5.7mm</t>
  </si>
  <si>
    <t>Double Service cylinder with 3in1 plugs</t>
  </si>
  <si>
    <t>npg</t>
  </si>
  <si>
    <t>Length</t>
  </si>
  <si>
    <t>Keys</t>
  </si>
  <si>
    <t>Finish</t>
  </si>
  <si>
    <t>Increasments</t>
  </si>
  <si>
    <t>Shackles</t>
  </si>
  <si>
    <t>Package</t>
  </si>
  <si>
    <t>Single Service cylinder with 3in1 plugs</t>
  </si>
  <si>
    <t>Finish EB</t>
  </si>
  <si>
    <t>Finish NST</t>
  </si>
  <si>
    <t>Finish NCM</t>
  </si>
  <si>
    <t>Finish sb</t>
  </si>
  <si>
    <t>Finish ab</t>
  </si>
  <si>
    <t>Finish 10b</t>
  </si>
  <si>
    <t>c black padlock</t>
  </si>
  <si>
    <t>Padlock with coating</t>
  </si>
  <si>
    <t>Plug EB</t>
  </si>
  <si>
    <t>Plug NST</t>
  </si>
  <si>
    <t>Plug NCM</t>
  </si>
  <si>
    <t>Plug SB</t>
  </si>
  <si>
    <t>E black padlock</t>
  </si>
  <si>
    <t>E Padlock Nickel</t>
  </si>
  <si>
    <t>PVD single</t>
  </si>
  <si>
    <t>Hercular w/o coating</t>
  </si>
  <si>
    <t>PVD double</t>
  </si>
  <si>
    <t>Coating NCM</t>
  </si>
  <si>
    <t>Coating SB</t>
  </si>
  <si>
    <t>Coating AB</t>
  </si>
  <si>
    <t>Coating 10B</t>
  </si>
  <si>
    <t>Special finish cylinder</t>
  </si>
  <si>
    <t>Special finish Plug</t>
  </si>
  <si>
    <t>Special finish Padlock</t>
  </si>
  <si>
    <t>Coating NST</t>
  </si>
  <si>
    <t>Coating EB</t>
  </si>
  <si>
    <t>Plug 10B</t>
  </si>
  <si>
    <t>Plug AB</t>
  </si>
  <si>
    <t>Round cylinder w/o coationg</t>
  </si>
  <si>
    <t>without padlock c6</t>
  </si>
  <si>
    <t>without padlock c16</t>
  </si>
  <si>
    <t>2 mm for cam cyl</t>
  </si>
  <si>
    <t>3 mm for cam cyl</t>
  </si>
  <si>
    <t>7 mm for cam cyl</t>
  </si>
  <si>
    <t>Spacer</t>
  </si>
  <si>
    <t>Break Secure cyl</t>
  </si>
  <si>
    <t>Strengthening plate cyl</t>
  </si>
  <si>
    <t>Side Pins</t>
  </si>
  <si>
    <t>Strengthening plate body</t>
  </si>
  <si>
    <t>Side+back pins for body</t>
  </si>
  <si>
    <t>Side pins for plug</t>
  </si>
  <si>
    <t>Side+back pins for plug</t>
  </si>
  <si>
    <t>Side pins for body</t>
  </si>
  <si>
    <t>Break Secure Plug</t>
  </si>
  <si>
    <t>Break Secure Body</t>
  </si>
  <si>
    <t>Plastic Bag</t>
  </si>
  <si>
    <t>Platform</t>
  </si>
  <si>
    <t>Interactive products</t>
  </si>
  <si>
    <t>Currency</t>
  </si>
  <si>
    <t>To ILS</t>
  </si>
  <si>
    <t>Conversion rate</t>
  </si>
  <si>
    <t>Product name</t>
  </si>
  <si>
    <t xml:space="preserve"> 1</t>
  </si>
  <si>
    <t xml:space="preserve"> 2</t>
  </si>
  <si>
    <t xml:space="preserve"> 3</t>
  </si>
  <si>
    <t xml:space="preserve"> 4</t>
  </si>
  <si>
    <t xml:space="preserve"> 5</t>
  </si>
  <si>
    <t xml:space="preserve"> 6</t>
  </si>
  <si>
    <t>EUR</t>
  </si>
  <si>
    <t>A</t>
  </si>
  <si>
    <t>CAD</t>
  </si>
  <si>
    <t>CHF</t>
  </si>
  <si>
    <t>CZK</t>
  </si>
  <si>
    <t>DKK</t>
  </si>
  <si>
    <t>GBP</t>
  </si>
  <si>
    <t>SEK</t>
  </si>
  <si>
    <t>TRY</t>
  </si>
  <si>
    <t>Integrator keys</t>
  </si>
  <si>
    <t>ZAR</t>
  </si>
  <si>
    <t>Classic keys</t>
  </si>
  <si>
    <t>USD</t>
  </si>
  <si>
    <t>AUD</t>
  </si>
  <si>
    <t>Keys - all XX ns keys</t>
  </si>
  <si>
    <t>Variables- Side Pins</t>
  </si>
  <si>
    <t>Variables- Side+back pins</t>
  </si>
  <si>
    <t>Value</t>
  </si>
  <si>
    <t>Comments</t>
  </si>
  <si>
    <t>A=not possible</t>
  </si>
  <si>
    <t>Platfrom calculation</t>
  </si>
  <si>
    <t>No. of keys</t>
  </si>
  <si>
    <t>X</t>
  </si>
  <si>
    <t>Variables- 3in1/TLO</t>
  </si>
  <si>
    <t>Double Cylinder 3in1</t>
  </si>
  <si>
    <t>Relevant for calculation</t>
  </si>
  <si>
    <t xml:space="preserve">-2 = </t>
  </si>
  <si>
    <t>The value of chosen quantity minus 2 keys</t>
  </si>
  <si>
    <t>E</t>
  </si>
  <si>
    <t>B</t>
  </si>
  <si>
    <t>platforn</t>
  </si>
  <si>
    <t>Single Cylinder 3in1</t>
  </si>
  <si>
    <t>Flat ring</t>
  </si>
  <si>
    <t>Rim/Mortise w/o spacer</t>
  </si>
  <si>
    <t>Currency:</t>
  </si>
  <si>
    <t>Break Secure</t>
  </si>
  <si>
    <t>Specials</t>
  </si>
  <si>
    <t>Others</t>
  </si>
  <si>
    <t>Strenghening plate</t>
  </si>
  <si>
    <t>3in1/TLO</t>
  </si>
  <si>
    <t>Loaded Bodies</t>
  </si>
  <si>
    <t>Double loaded</t>
  </si>
  <si>
    <t>CliQ</t>
  </si>
  <si>
    <t>Single body VDS</t>
  </si>
  <si>
    <t>Body SKG***</t>
  </si>
  <si>
    <t>Side+back pins for Cylinder</t>
  </si>
  <si>
    <t>Side pins for Cylinder</t>
  </si>
  <si>
    <t>MKS</t>
  </si>
  <si>
    <t>Master Key System</t>
  </si>
  <si>
    <t>service/master</t>
  </si>
  <si>
    <t>Restrictions:</t>
  </si>
  <si>
    <t>Platform - Product:</t>
  </si>
  <si>
    <t>Platform - Feature:</t>
  </si>
  <si>
    <t>Platform - Keys:</t>
  </si>
  <si>
    <t>Fields to be included in Calculator</t>
  </si>
  <si>
    <t>`</t>
  </si>
  <si>
    <t>SKG***</t>
  </si>
  <si>
    <t>Knob</t>
  </si>
  <si>
    <t>Construction cylinder</t>
  </si>
  <si>
    <t>Emergency function</t>
  </si>
  <si>
    <t>3 Piece cam</t>
  </si>
  <si>
    <t>Shackle protector</t>
  </si>
  <si>
    <t>Cyl SKG***</t>
  </si>
  <si>
    <t>Padlock G protector</t>
  </si>
  <si>
    <t>Single loaded</t>
  </si>
  <si>
    <t>Emergency</t>
  </si>
  <si>
    <t>Body half profile 72.5</t>
  </si>
  <si>
    <t>Cam 22 27.3</t>
  </si>
  <si>
    <t>Cam 22 38.3</t>
  </si>
  <si>
    <t>Cam 19 5/8</t>
  </si>
  <si>
    <t>Double profile 64</t>
  </si>
  <si>
    <t>Double profile 97</t>
  </si>
  <si>
    <t>Double profile 99</t>
  </si>
  <si>
    <t>Double profile 102</t>
  </si>
  <si>
    <t>Double profile 108</t>
  </si>
  <si>
    <t>Double profile 141</t>
  </si>
  <si>
    <t>Double profile 148</t>
  </si>
  <si>
    <t>Double profile 160</t>
  </si>
  <si>
    <t>Double profile 170</t>
  </si>
  <si>
    <t>Double profile 270</t>
  </si>
  <si>
    <t>Half profile 62.5</t>
  </si>
  <si>
    <t>Half profile 64</t>
  </si>
  <si>
    <t>3in1 Plug</t>
  </si>
  <si>
    <t>Rim/mortise w/o spacer</t>
  </si>
  <si>
    <t>Body Double profile 136</t>
  </si>
  <si>
    <t>Fichet Mortise</t>
  </si>
  <si>
    <t>Tal</t>
  </si>
  <si>
    <t>ASSA Double</t>
  </si>
  <si>
    <t>Hercular without plug \ keys \ rosette &amp; cover</t>
  </si>
  <si>
    <t>Plug Mortise 1" 27.6</t>
  </si>
  <si>
    <t>4J</t>
  </si>
  <si>
    <t>40 Plastic Key blank</t>
  </si>
  <si>
    <t>40 Plastic Key blanks</t>
  </si>
  <si>
    <t>Cam Plugs</t>
  </si>
  <si>
    <t>COMB. CARDS PACKAGE</t>
  </si>
  <si>
    <t>4I</t>
  </si>
  <si>
    <t>4N</t>
  </si>
  <si>
    <t>Switch Plugs</t>
  </si>
  <si>
    <t>SB for MPL</t>
  </si>
  <si>
    <t>NC for MPL</t>
  </si>
  <si>
    <t>White for MPL</t>
  </si>
  <si>
    <t>Brown for MPL</t>
  </si>
  <si>
    <t>4K</t>
  </si>
  <si>
    <t>4L</t>
  </si>
  <si>
    <t>7J</t>
  </si>
  <si>
    <t>SHOWCASE LOCK</t>
  </si>
  <si>
    <t>Inserts for key head</t>
  </si>
  <si>
    <t>TLO Keys</t>
  </si>
  <si>
    <t xml:space="preserve">Abloy Cylinder </t>
  </si>
  <si>
    <t>Bar no. 1.1</t>
  </si>
  <si>
    <t>Bar no. 1.2</t>
  </si>
  <si>
    <t>Bar no. 1.3</t>
  </si>
  <si>
    <t>Bar no. 1.4</t>
  </si>
  <si>
    <t>Bar no. 1.5</t>
  </si>
  <si>
    <t>Bar no. 2.2</t>
  </si>
  <si>
    <t>Bar no. 2.3</t>
  </si>
  <si>
    <t>Bar no. 2.4</t>
  </si>
  <si>
    <t>Bar no. 2.5</t>
  </si>
  <si>
    <t>Bar no. 3.3</t>
  </si>
  <si>
    <t>Bar no. 3.4</t>
  </si>
  <si>
    <t>Bar no. 4.4</t>
  </si>
  <si>
    <t>Modular components</t>
  </si>
  <si>
    <t>Bar</t>
  </si>
  <si>
    <t>Body spacer</t>
  </si>
  <si>
    <t>Bar no. 1</t>
  </si>
  <si>
    <t>Bar no. 2</t>
  </si>
  <si>
    <t>Bar no. 3</t>
  </si>
  <si>
    <t>Bar no. 4</t>
  </si>
  <si>
    <t>Bar no. 5</t>
  </si>
  <si>
    <t>Ø5x45</t>
  </si>
  <si>
    <t>Ø5x47</t>
  </si>
  <si>
    <t>Ø5x40</t>
  </si>
  <si>
    <t>Ø5x42</t>
  </si>
  <si>
    <t>Ø5x35</t>
  </si>
  <si>
    <t>Ø5x37</t>
  </si>
  <si>
    <t>Ø5x30</t>
  </si>
  <si>
    <t>Ø5x32</t>
  </si>
  <si>
    <t>Ø5x25</t>
  </si>
  <si>
    <t>Ø5x27</t>
  </si>
  <si>
    <t>Single cylinder:</t>
  </si>
  <si>
    <t>Ø5x20</t>
  </si>
  <si>
    <t>Ø5x22</t>
  </si>
  <si>
    <t>Cat. No.</t>
  </si>
  <si>
    <t>Size</t>
  </si>
  <si>
    <t>Ø5x15</t>
  </si>
  <si>
    <t>Ø5x17</t>
  </si>
  <si>
    <t>Ø5x10</t>
  </si>
  <si>
    <t>Ø5x12</t>
  </si>
  <si>
    <t>Ø7x7</t>
  </si>
  <si>
    <t>Double cylinder:</t>
  </si>
  <si>
    <t>Ø7x5</t>
  </si>
  <si>
    <t>Ø7x2</t>
  </si>
  <si>
    <t>Bar no. 3.5</t>
  </si>
  <si>
    <t>Bar no. 4.5</t>
  </si>
  <si>
    <t>Bar no. 5.5</t>
  </si>
  <si>
    <t>Bar #:</t>
  </si>
  <si>
    <t>Threaded pin</t>
  </si>
  <si>
    <t>Adaptor for single modular</t>
  </si>
  <si>
    <t>Modular kit</t>
  </si>
  <si>
    <t>Modular body 31</t>
  </si>
  <si>
    <t>Modular body 33</t>
  </si>
  <si>
    <t>Modular body 35</t>
  </si>
  <si>
    <t>Qty = 4</t>
  </si>
  <si>
    <t>Qty = 3</t>
  </si>
  <si>
    <t>Choose length for each side (red numbers)</t>
  </si>
  <si>
    <t>Length:</t>
  </si>
  <si>
    <t>4Q</t>
  </si>
  <si>
    <t>Back pins for Modular body</t>
  </si>
  <si>
    <t>4R</t>
  </si>
  <si>
    <t>Spacers and adaptors</t>
  </si>
  <si>
    <t>SPACER FOR PLUG - 2 MM</t>
  </si>
  <si>
    <t>ADAPTOR FOR EURO PLUG 25MM I.D 5MM</t>
  </si>
  <si>
    <t>ADAPTOR FOR EURO PLUG 30MM I.D 5MM</t>
  </si>
  <si>
    <t>ADAPTOR FOR EURO PLUG 35MM I.D 5MM</t>
  </si>
  <si>
    <t>ADAPTOR FOR EURO PLUG 40MM I.D 5MM</t>
  </si>
  <si>
    <t>ADAPTOR FOR EURO PLUG 45MM I.D 5MM</t>
  </si>
  <si>
    <t>ADAPTOR FOR EURO CYL FOR UNI 10MM</t>
  </si>
  <si>
    <t>ADAPTOR FOR EURO CYL FOR UNI 15MM</t>
  </si>
  <si>
    <t>ADAPTOR FOR EURO CYL FOR UNI 20MM</t>
  </si>
  <si>
    <t>SPACER FOR PLUG - 5 MM I.D 7MM</t>
  </si>
  <si>
    <t>SPACER FOR PLUG - 7 MM  I.D 7MM</t>
  </si>
  <si>
    <t>SPACER FOR PLUG - 10 MM I.D 5MM</t>
  </si>
  <si>
    <t>SPACER FOR PLUG - 12 MM I.D 5MM</t>
  </si>
  <si>
    <t>SPACER FOR PLUG - 15 MM I.D 5MM</t>
  </si>
  <si>
    <t>SPACER FOR PLUG - 17 MM I.D 5MM</t>
  </si>
  <si>
    <t>SPACER FOR PLUG - 20 MM  I.D 5MM</t>
  </si>
  <si>
    <t>SPACER FOR PLUG - 22 MM I.D 5MM</t>
  </si>
  <si>
    <t>SPACER FOR PLUG - 25 MM I.D 5MM</t>
  </si>
  <si>
    <t>SPACER FOR PLUG - 27 MM I.D 5MM</t>
  </si>
  <si>
    <t>SPACER FOR PLUG - 30 MM I.D 5MM</t>
  </si>
  <si>
    <t>SPACER FOR PLUG - 32 MM I.D 5MM</t>
  </si>
  <si>
    <t>SPACER FOR PLUG - 35 MM I.D 5MM</t>
  </si>
  <si>
    <t>SPACER FOR PLUG - 37 MM I.D 5MM</t>
  </si>
  <si>
    <t>SPACER FOR PLUG - 40 MM I.D 5MM</t>
  </si>
  <si>
    <t>SPACER FOR PLUG - 42 MM I.D 5MM</t>
  </si>
  <si>
    <t>SPACER FOR PLUG - 45 MM I.D 5MM</t>
  </si>
  <si>
    <t>SPACER FOR PLUG - 47 MM I.D 5MM</t>
  </si>
  <si>
    <t>Body:</t>
  </si>
  <si>
    <t>Body spacer:</t>
  </si>
  <si>
    <t>Plug spacer:</t>
  </si>
  <si>
    <t>Plug adaptor:</t>
  </si>
  <si>
    <t>Plug (NST):</t>
  </si>
  <si>
    <t>KIK NCM</t>
  </si>
  <si>
    <t>KIK SB</t>
  </si>
  <si>
    <t>Half profile 79.5</t>
  </si>
  <si>
    <t>Body half profile 79.5</t>
  </si>
  <si>
    <t>Body half profile 62.5</t>
  </si>
  <si>
    <t>Body half profile 67.5</t>
  </si>
  <si>
    <t>Body half profile 77.5</t>
  </si>
  <si>
    <t>Half profile 67.5</t>
  </si>
  <si>
    <t>Special Box</t>
  </si>
  <si>
    <t>KEY SETS PLASTIC</t>
  </si>
  <si>
    <t>KEY SETS METALLIC</t>
  </si>
  <si>
    <t>SINERKEY</t>
  </si>
  <si>
    <t>Plastic Key blank 40</t>
  </si>
  <si>
    <t>Parts for Multipoint</t>
  </si>
  <si>
    <t>Modular bodies</t>
  </si>
  <si>
    <t>TLO Keys 50</t>
  </si>
  <si>
    <t>4M</t>
  </si>
  <si>
    <t>Quarts XT</t>
  </si>
  <si>
    <t>4O</t>
  </si>
  <si>
    <t>KEY SET TLO</t>
  </si>
  <si>
    <t>4P</t>
  </si>
  <si>
    <t>WATCHLOCK</t>
  </si>
  <si>
    <t>6D</t>
  </si>
  <si>
    <t>B-S  XP FOR CYL</t>
  </si>
  <si>
    <t>SynerKey sticker</t>
  </si>
  <si>
    <t>Duplicate Key</t>
  </si>
  <si>
    <t>Compact 7X7 KCM</t>
  </si>
  <si>
    <t>KC5</t>
  </si>
  <si>
    <t>6E</t>
  </si>
  <si>
    <t>Lock 231/2 for cars</t>
  </si>
  <si>
    <t>5V</t>
  </si>
  <si>
    <t>CYL for Padlock NE</t>
  </si>
  <si>
    <t>7K</t>
  </si>
  <si>
    <t>CYL for Padlock NEG</t>
  </si>
  <si>
    <t>7L</t>
  </si>
  <si>
    <t>Padlock NEG</t>
  </si>
  <si>
    <t>6A</t>
  </si>
  <si>
    <t>Padlock NE</t>
  </si>
  <si>
    <t>6B</t>
  </si>
  <si>
    <t>Padlock NE10L</t>
  </si>
  <si>
    <t>Padlock NE10H</t>
  </si>
  <si>
    <t>Padlock NE12L</t>
  </si>
  <si>
    <t>Padlock NE12H</t>
  </si>
  <si>
    <t>Padlock NE14L</t>
  </si>
  <si>
    <t>Padlock NE14H</t>
  </si>
  <si>
    <t>Padlock SBNE12</t>
  </si>
  <si>
    <t>Padlock NE8G</t>
  </si>
  <si>
    <t>Padlock NE10G</t>
  </si>
  <si>
    <t>Padlock SBNE10</t>
  </si>
  <si>
    <t>4T</t>
  </si>
  <si>
    <t>4U</t>
  </si>
  <si>
    <t>Swiss Body</t>
  </si>
  <si>
    <t>Single Swiss Body</t>
  </si>
  <si>
    <t>4S</t>
  </si>
  <si>
    <t>9L</t>
  </si>
  <si>
    <t>ENTR Double Euro</t>
  </si>
  <si>
    <t>Padlock C13 Single P</t>
  </si>
  <si>
    <t>ArmaDlock</t>
  </si>
  <si>
    <t>PARTS FOR WATCHLOCK</t>
  </si>
  <si>
    <t>Modular parts</t>
  </si>
  <si>
    <t>Finish AB</t>
  </si>
  <si>
    <t>Finish 10B</t>
  </si>
  <si>
    <t>4W</t>
  </si>
  <si>
    <t>4X</t>
  </si>
  <si>
    <t>4Y</t>
  </si>
  <si>
    <t>4Z</t>
  </si>
  <si>
    <t>KIK CN</t>
  </si>
  <si>
    <t>Rim\Mortise CN</t>
  </si>
  <si>
    <t>Double Euro CN</t>
  </si>
  <si>
    <t>Single Cyl CN</t>
  </si>
  <si>
    <t>Double profile 66 CN</t>
  </si>
  <si>
    <t>Double profile 70/71/72 CN</t>
  </si>
  <si>
    <t>Double profile 75/76/77 CN</t>
  </si>
  <si>
    <t>Double profile 80/81 CN</t>
  </si>
  <si>
    <t>Double profile 85/86 CN</t>
  </si>
  <si>
    <t>Double profile 90/91 CN</t>
  </si>
  <si>
    <t>Double profile 95/96 CN</t>
  </si>
  <si>
    <t>Double profile 100/101 CN</t>
  </si>
  <si>
    <t>Double profile up to 62 CN</t>
  </si>
  <si>
    <t>7X7 products CN</t>
  </si>
  <si>
    <t>Classic products CN</t>
  </si>
  <si>
    <t>Double profile 105/106 CN</t>
  </si>
  <si>
    <t>Blister CN</t>
  </si>
  <si>
    <t>Polybag CN</t>
  </si>
  <si>
    <t>2 Plastic keys CN</t>
  </si>
  <si>
    <t>3 Plastic keys CN</t>
  </si>
  <si>
    <t>4 Plastic keys CN</t>
  </si>
  <si>
    <t>5 Plastic keys CN</t>
  </si>
  <si>
    <t>6 Plastic keys CN</t>
  </si>
  <si>
    <t>2 Plastic keys w/o card CN</t>
  </si>
  <si>
    <t>3 Plastic keys w/o card CN</t>
  </si>
  <si>
    <t>4 Plastic keys w/o card CN</t>
  </si>
  <si>
    <t>5 Plastic keys w/o card CN</t>
  </si>
  <si>
    <t>6 Plastic keys w/o card CN</t>
  </si>
  <si>
    <t>7 Plastic keys CN</t>
  </si>
  <si>
    <t>7 Plastic keys w/o card CN</t>
  </si>
  <si>
    <t>Service CN</t>
  </si>
  <si>
    <t>Knob CN</t>
  </si>
  <si>
    <t>A.D.P CN</t>
  </si>
  <si>
    <t>NST CN</t>
  </si>
  <si>
    <t>Break secure CN</t>
  </si>
  <si>
    <t>ClassicPro</t>
  </si>
  <si>
    <t>ClassicPro keys</t>
  </si>
  <si>
    <t>Cylinder without plugs &amp; keys</t>
  </si>
  <si>
    <t>Single cylinder without plugs &amp; keys</t>
  </si>
  <si>
    <t>Side</t>
  </si>
  <si>
    <t>Bar #</t>
  </si>
  <si>
    <t>Plug</t>
  </si>
  <si>
    <t>Body spacer PN</t>
  </si>
  <si>
    <t>Plug spacer</t>
  </si>
  <si>
    <t>Plug spacer PN</t>
  </si>
  <si>
    <t>Plug adaptor</t>
  </si>
  <si>
    <t>Body</t>
  </si>
  <si>
    <t>Plug spacer 2:</t>
  </si>
  <si>
    <t>Plug adaptor 2:</t>
  </si>
  <si>
    <t>Plug spacer 2</t>
  </si>
  <si>
    <t>Plug adaptor 2</t>
  </si>
  <si>
    <t>Plug adaptor PN</t>
  </si>
  <si>
    <t>Modular body 75</t>
  </si>
  <si>
    <t>5W</t>
  </si>
  <si>
    <t>Padlock E-CLIQ NEG</t>
  </si>
  <si>
    <t>5F</t>
  </si>
  <si>
    <t>Double E-CLIQ cyl</t>
  </si>
  <si>
    <t>5G</t>
  </si>
  <si>
    <t>Half E-CLIQ cyl</t>
  </si>
  <si>
    <t>5H</t>
  </si>
  <si>
    <t>KIK E- CLIQ</t>
  </si>
  <si>
    <t>5I</t>
  </si>
  <si>
    <t>RIMO E - CLIQ</t>
  </si>
  <si>
    <t>3 Piece Cam</t>
  </si>
  <si>
    <t>8 Position Cam</t>
  </si>
  <si>
    <t>Freeloop Cam</t>
  </si>
  <si>
    <t>KNOB &amp; A.D.P  CN</t>
  </si>
  <si>
    <t>Double cyl 2in1 CN</t>
  </si>
  <si>
    <t>CLIQ 1 side service</t>
  </si>
  <si>
    <t>CLIQ 1 side EM service</t>
  </si>
  <si>
    <t>CLIQ 1 side master</t>
  </si>
  <si>
    <t>CLIQ 1 side EM master</t>
  </si>
  <si>
    <t>CLIQ 2 sides service</t>
  </si>
  <si>
    <t>CLIQ 2 sides EM  service</t>
  </si>
  <si>
    <t>CLIQ 2 sides master</t>
  </si>
  <si>
    <t>CLIQ 2 sides EM  master</t>
  </si>
  <si>
    <t>CLIQ 2 sides ser IPX8</t>
  </si>
  <si>
    <t>CLIQ 2 sides+E.M ser IPX8</t>
  </si>
  <si>
    <t>CLIQ 2 sidesMK IPX8</t>
  </si>
  <si>
    <t>CLIQ 2 sides+E.M  MK IPX8</t>
  </si>
  <si>
    <t>CLIQ 1 side serv IPX8</t>
  </si>
  <si>
    <t>CLIQ 1 side+E.M ser IPX8</t>
  </si>
  <si>
    <t>CLIQ 1 side MK IPX8</t>
  </si>
  <si>
    <t>CLIQ 1 side+E.M MK IPX8</t>
  </si>
  <si>
    <t>V  MILLING TOOL - 6 M M DIAM. X 38 - FOR KEY DUPLICATING MACHINE+ KC5</t>
  </si>
  <si>
    <t>W  MILLING TOOL - 6 M M X 38 - FOR KEY DUPLICATING MACHINE+ KC5</t>
  </si>
  <si>
    <t>MILLING TOOL SET FOR KEY DUPLICATING MACHINE</t>
  </si>
  <si>
    <t>PROBE PIN FOR KEY CUTTING M/C.MODEL 4</t>
  </si>
  <si>
    <t>Snake cutter</t>
  </si>
  <si>
    <t>STEP MOTOR</t>
  </si>
  <si>
    <t>Key Machine Vice Jaw Stopping Pin</t>
  </si>
  <si>
    <t>DISC SPRING DIA.10.2X0.8XDIA.20 FOR KEY DUPLICATING M/C.</t>
  </si>
  <si>
    <t>CODING BAR FIXING PIN FOR FS MACHINE</t>
  </si>
  <si>
    <t>HEX HEAD SCREW M10X45 DIN 558 BLACK</t>
  </si>
  <si>
    <t>Duplication Card reader for remote MT5 keys</t>
  </si>
  <si>
    <t>BODY FOR PRESSING REGULATED INSTRUMENT</t>
  </si>
  <si>
    <t>CABLE FOR COMPACT KEY MACHINE NEW</t>
  </si>
  <si>
    <t>SENSOR PIN FOR 7X7 COMPACT</t>
  </si>
  <si>
    <t>ADAPTOR FOR COMPACT 2 ASSY</t>
  </si>
  <si>
    <t>FIXING PIN W/HEAD - BLACK</t>
  </si>
  <si>
    <t>SENSOR PIN</t>
  </si>
  <si>
    <t>PIN 6*5.95 FOR K.C. MACHINE</t>
  </si>
  <si>
    <t>PACKING BOX FOR COMPACT MACHINE</t>
  </si>
  <si>
    <t>Engine belt</t>
  </si>
  <si>
    <t>PIN FOR KEY HOLDER KEY CUTTING MACHIN 7X7 FOR SIDE PINS</t>
  </si>
  <si>
    <t>SHAFT PULLY 30X26 FOR KEY CUTTING MACHINE</t>
  </si>
  <si>
    <t>BEARING 7203B NTN (S.K.F)</t>
  </si>
  <si>
    <t>PALLET 430X310 FOR COMPACT MACHINE</t>
  </si>
  <si>
    <t>SPRING FOR Z SENSOR</t>
  </si>
  <si>
    <t>HANDLE - ELESSA - VC 254/40 B - M8</t>
  </si>
  <si>
    <t>HANDLE - ELESSA - BL/336/10X85</t>
  </si>
  <si>
    <t>Axis restraint</t>
  </si>
  <si>
    <t>CAM FOR DUPLICATING MACHINE AFTER BLACK OXIDE PLATING</t>
  </si>
  <si>
    <t>BEARING 7202B NTN (S.K.F)</t>
  </si>
  <si>
    <t>SPINDLE KIT FOR KC5</t>
  </si>
  <si>
    <t>COVER FOR KEY CUTTER FOR DUPLICATION MACHINE</t>
  </si>
  <si>
    <t>KC5- OMEGA U/G KIT</t>
  </si>
  <si>
    <t>PIN FOR ADAPTOR FOR KEY CUTTING MACHIN COMPACT II W/O S/P+B/P</t>
  </si>
  <si>
    <t>BELT FOR KEY DUPLICATING M/C. 565X15X1.4 MM</t>
  </si>
  <si>
    <t>WHEEL BAND 38X26 FOR KEY CUTTING MACHINE</t>
  </si>
  <si>
    <t>LEFT HAND CUTTER FOR INTERNAL DIMPLR FOR K.C.M SI300</t>
  </si>
  <si>
    <t>BAND FOR KEY CUTTING MACHINE 445X15X1.4 MM</t>
  </si>
  <si>
    <t>CAPACITOR 8MF FOR DUPLICTING MACHINE220V</t>
  </si>
  <si>
    <t>PIN 3*10.7 FOR K.C.MACHINE</t>
  </si>
  <si>
    <t>SHAFT FOR EXCENTRIC-DIA.8X20 BLACK OXIDE PLATING</t>
  </si>
  <si>
    <t>WHEEL BAND DIA.51X26</t>
  </si>
  <si>
    <t>OPEN KEY FOR KEY CUTTING MACHINE</t>
  </si>
  <si>
    <t>FIXING BAR FOR KEY DUPLICATING MACHINE AFTER BLACK OXIDE PLATING</t>
  </si>
  <si>
    <t>PLASTIC BOTTOM COVER FOR KEY CUTTING MACHINE</t>
  </si>
  <si>
    <t>ASSAMBLED PROBE FOR KEY CUTTING M/C.MODEL 4</t>
  </si>
  <si>
    <t>HANDLE NO.2 NICKEL - 48 MM</t>
  </si>
  <si>
    <t>MARKER FOR KC5</t>
  </si>
  <si>
    <t>CAM FOR DUPLICATING MACHINE</t>
  </si>
  <si>
    <t>ALLEN HEAD HALF ROUND SCREW M4X8 ISO7380</t>
  </si>
  <si>
    <t>POWER REGULATOR 24V</t>
  </si>
  <si>
    <t>ADAPTOR FOR BLANK HOLDER FOR COMPACT 2</t>
  </si>
  <si>
    <t>PLASTIC BELT COVER</t>
  </si>
  <si>
    <t>HANDLE NO.3 NICKEL - 58 MM</t>
  </si>
  <si>
    <t>RED SWITCH DIA.29 MM P16PMU2</t>
  </si>
  <si>
    <t>GREEN SWITCH DIA.29 MM P16PMU2</t>
  </si>
  <si>
    <t>MOMTOR PULLY FOR COMPACT D.M.</t>
  </si>
  <si>
    <t>CARRYING HANDLE GN-528-PA-94</t>
  </si>
  <si>
    <t>FAN 58  DIA</t>
  </si>
  <si>
    <t>USB security dongle</t>
  </si>
  <si>
    <t>SW &amp; Doc. CD</t>
  </si>
  <si>
    <t>SCREW NUT M12 DIN 439B BLUE ZINK</t>
  </si>
  <si>
    <t>EXTERNAL RETAINING RING DIA 8X0.8 - DIN 471</t>
  </si>
  <si>
    <t>LCD DISPLAY 16 CHARACTER</t>
  </si>
  <si>
    <t>Kc5 user manual ver. 1.0.3.XX</t>
  </si>
  <si>
    <t>ADAPTOR FOR CONTROL KEY FOR COMPACT 2</t>
  </si>
  <si>
    <t>ASSEMBLED PROBE FOR KEY DUP. MACHINE 7X7</t>
  </si>
  <si>
    <t>PROFUNDITY RING BLACK</t>
  </si>
  <si>
    <t>BOTTOM COVER-PLASTIC</t>
  </si>
  <si>
    <t>DRAWER FOR CHIPS</t>
  </si>
  <si>
    <t>ENGRAVING HEAD</t>
  </si>
  <si>
    <t>VIDIA TIP FOR MARKER</t>
  </si>
  <si>
    <t>SPINDLE 22 MM</t>
  </si>
  <si>
    <t>HANDLE NO.1 NICKEL - 38 MM</t>
  </si>
  <si>
    <t>Card reader</t>
  </si>
  <si>
    <t>24V supplier</t>
  </si>
  <si>
    <t>Key Pad</t>
  </si>
  <si>
    <t>KC5 PACKING</t>
  </si>
  <si>
    <t>RUBBER FOOT DIAM. 22X10 MM</t>
  </si>
  <si>
    <t>ASSAMBLED PROBES FOR COMPACT KEY CUTTING MACHINE</t>
  </si>
  <si>
    <t>SWITCH BRETER 13.02.11 AC1 20A 660V HANDLE EXTENSION 31 MM FOR KEY DUPL.</t>
  </si>
  <si>
    <t>PIN FOR ADAPTOR COMPACT 2</t>
  </si>
  <si>
    <t>Emergency stop</t>
  </si>
  <si>
    <t>NEW LED SWITCH MODUL</t>
  </si>
  <si>
    <t>DRIVE WHEEL DIA.58X32</t>
  </si>
  <si>
    <t>USB connector</t>
  </si>
  <si>
    <t>Clamp - upper key gripper</t>
  </si>
  <si>
    <t>HANDLE - ELESSA - B.193/50 FP M12</t>
  </si>
  <si>
    <t>SCREW GN 615-M3-K</t>
  </si>
  <si>
    <t>REAR COVER</t>
  </si>
  <si>
    <t>BLDC DRIVER 300W FOR KC5</t>
  </si>
  <si>
    <t>Key clamp - kit</t>
  </si>
  <si>
    <t>KC5 Omega cutter</t>
  </si>
  <si>
    <t>MACHINE SIDE PIN CUTTER FOR INDUSTRIAL KEY CUTTING MACHINE</t>
  </si>
  <si>
    <t>COVER FOR KEY CUTTING MACHINE KC5</t>
  </si>
  <si>
    <t>ADAPTOR FOR COMPACT&amp;FULLSIZE LEFT SIDE FOR BACK PINS TYPE 2 CUT 5 B/P</t>
  </si>
  <si>
    <t>KC5 add-inn for Engraving</t>
  </si>
  <si>
    <t>ADAPTOR FOR BLANK HOLDER FOR SIDE PINS</t>
  </si>
  <si>
    <t>Stretching bearing</t>
  </si>
  <si>
    <t>Stretching bearing kit (pair)</t>
  </si>
  <si>
    <t>LABLE-FRONT LEXAN</t>
  </si>
  <si>
    <t>push button stat stop</t>
  </si>
  <si>
    <t>SPINDLE 25X198 - FOR KEY DUPLICATING M/C. MODEL 4</t>
  </si>
  <si>
    <t>EYE BOLT M8X1</t>
  </si>
  <si>
    <t>T NUT 30X16X16 - FOR KEY DUPLICATING M/C.</t>
  </si>
  <si>
    <t>KEY CUTS DEPTH MEASURING DEVICE</t>
  </si>
  <si>
    <t>MOTOR 230V FOR KEY DUPLICATING MACHINE MUL2P230</t>
  </si>
  <si>
    <t>BALL BEARUNG 628</t>
  </si>
  <si>
    <t>Folder guard</t>
  </si>
  <si>
    <t>CHIPS DRAWER</t>
  </si>
  <si>
    <t>ALLEN HEAD HALF ROUND SCREW M4X30 - 10.9 ISO 7380</t>
  </si>
  <si>
    <t>CUTTER SHIELD - BLACK</t>
  </si>
  <si>
    <t>STIKING IN 3 PIN</t>
  </si>
  <si>
    <t>POWER SUPPLY 48V 300W</t>
  </si>
  <si>
    <t>Release spring</t>
  </si>
  <si>
    <t>Controller for KC5</t>
  </si>
  <si>
    <t>Plunger pin</t>
  </si>
  <si>
    <t>Ring Locating</t>
  </si>
  <si>
    <t>Extension knob</t>
  </si>
  <si>
    <t>LABLE-BACK LEXAN</t>
  </si>
  <si>
    <t>Key Machine Vice Jaw Stopping Pin FOR CAPTIVE+CONTROL KEY</t>
  </si>
  <si>
    <t>COVER FOR KEY CUTTING MACHINE</t>
  </si>
  <si>
    <t>contact NC</t>
  </si>
  <si>
    <t>contact NO</t>
  </si>
  <si>
    <t>SOCKET SET SCREW M6X10 - DIN 913</t>
  </si>
  <si>
    <t>KEY MOUNTING BRACKET FOR DUPLICATING MACHINE -MILLED</t>
  </si>
  <si>
    <t>DOOR SWITCH FOR KC5</t>
  </si>
  <si>
    <t>RACK FOR KEY DUPLICATING MACHINE</t>
  </si>
  <si>
    <t>NUT FOR KEY CUTTING MACHINE AFTER BLACK OXIDE PLATING</t>
  </si>
  <si>
    <t>COVER PLATE FOR COMPACT KEY MACHINE</t>
  </si>
  <si>
    <t>SENSOR HOUSING AFTER BLACK OXIDE PLATING</t>
  </si>
  <si>
    <t>HOLDER PROBES BLACK</t>
  </si>
  <si>
    <t>STOPING PIN FOR HOLDING BAR</t>
  </si>
  <si>
    <t>DOOR ASSY KC5</t>
  </si>
  <si>
    <t>Main spring</t>
  </si>
  <si>
    <t>Washer sphere M6</t>
  </si>
  <si>
    <t>SPINDLE MOTOR CABLE</t>
  </si>
  <si>
    <t>Base, key gripper</t>
  </si>
  <si>
    <t>Screw anchor</t>
  </si>
  <si>
    <t>KIT - 5 CODE BAR EXTENAL LEVELR S/A FOR DUPLICATING  M/C</t>
  </si>
  <si>
    <t>MINI-CONTACTOR (SPRECHER) CA-9-10 220V FOR KEY CUTTING MACHINE</t>
  </si>
  <si>
    <t>Components for KCM</t>
  </si>
  <si>
    <t>Plastic Key blank</t>
  </si>
  <si>
    <t>Duplicated plastic key</t>
  </si>
  <si>
    <t>Metal Key blank</t>
  </si>
  <si>
    <t>Duplicated metal key</t>
  </si>
  <si>
    <t>Code-It</t>
  </si>
  <si>
    <t>DIN, 8mm spindle, right</t>
  </si>
  <si>
    <t>DIN, 8mm spindle, left</t>
  </si>
  <si>
    <t>Japan, special spindle, right 
(compatible with MIWA lock)</t>
  </si>
  <si>
    <t>Japan, special spindle, left 
(compatible with MIWA lock)</t>
  </si>
  <si>
    <t>Long Plate, 8mm spindle, right, no cylinder hole</t>
  </si>
  <si>
    <t>Long Plate, 8mm spindle, left no cylinder hole</t>
  </si>
  <si>
    <t>Long Plate, 8mm spindle, right, 72mm between handle and cylinder</t>
  </si>
  <si>
    <t>Long Plate, 8mm spindle, left, 72mm between handle and cylinder</t>
  </si>
  <si>
    <t>Long Plate, 8mm spindle, right, 85mm between handle and cylinder</t>
  </si>
  <si>
    <t>Long Plate, 8mm spindle, left, 85mm between handle and cylinder</t>
  </si>
  <si>
    <t>ANSI, 8mm spindle, right</t>
  </si>
  <si>
    <t>ANSI, 8mm spindle, left</t>
  </si>
  <si>
    <t>Long Plate, 8mm spindle, right, 55mm between handle and cylinder</t>
  </si>
  <si>
    <t>Long Plate, 8mm spindle, left, 55mm between handle and cylinder</t>
  </si>
  <si>
    <t>Compatible with Spanish locks, 8mm spindle, right</t>
  </si>
  <si>
    <t>Compatible with Spanish locks, 8mm spindle, left</t>
  </si>
  <si>
    <t>Code Handle 7812, 8mm spindle square, satin chrome</t>
  </si>
  <si>
    <t>Code Handle 7812, 8mm spindle square, white</t>
  </si>
  <si>
    <t>ADAPTOR FOR EURO PLUG 42MM I.D 5MM</t>
  </si>
  <si>
    <t>Parts for ENTR</t>
  </si>
  <si>
    <t>4V</t>
  </si>
  <si>
    <t>Integrator Products CN</t>
  </si>
  <si>
    <t>MTL 200 KEYS</t>
  </si>
  <si>
    <t>MTL400</t>
  </si>
  <si>
    <t>MTL300</t>
  </si>
  <si>
    <t>MTL400 KEYS</t>
  </si>
  <si>
    <t>MTL600 KEYS</t>
  </si>
  <si>
    <t>Key sets Metallic</t>
  </si>
  <si>
    <t>Key sets Plastic</t>
  </si>
  <si>
    <t>3 Plastic Keys</t>
  </si>
  <si>
    <t>5 Plastic Keys</t>
  </si>
  <si>
    <t>3 NS Keys</t>
  </si>
  <si>
    <t>5 NS Keys</t>
  </si>
  <si>
    <t>Price increase:</t>
  </si>
  <si>
    <t>MTL600 products</t>
  </si>
  <si>
    <t>7</t>
  </si>
  <si>
    <t>8</t>
  </si>
  <si>
    <t>MTL500 products</t>
  </si>
  <si>
    <t>MTL800 products</t>
  </si>
  <si>
    <t>MTL600 keys</t>
  </si>
  <si>
    <t>MTL500 keys</t>
  </si>
  <si>
    <t>MTL800 keys</t>
  </si>
  <si>
    <t>MTL300 products</t>
  </si>
  <si>
    <t>MTL300 keys</t>
  </si>
  <si>
    <t>MTL400 products</t>
  </si>
  <si>
    <t>MTL400 keys</t>
  </si>
  <si>
    <t>7X7 Keys</t>
  </si>
  <si>
    <t>MTL800 KEYS</t>
  </si>
  <si>
    <t>MTL300 KEYS</t>
  </si>
  <si>
    <t>MTL500 KEYS</t>
  </si>
  <si>
    <t>MTL200</t>
  </si>
  <si>
    <t>MTL500 Keys</t>
  </si>
  <si>
    <t>MTL800 Keys</t>
  </si>
  <si>
    <t>classic products</t>
  </si>
  <si>
    <t>MT5 products</t>
  </si>
  <si>
    <t>Euro UK Swiss Body</t>
  </si>
  <si>
    <t>Sgl Eur UK Swiss Body</t>
  </si>
  <si>
    <t>MTL900 products</t>
  </si>
  <si>
    <t>9</t>
  </si>
  <si>
    <t>MTL1000 products</t>
  </si>
  <si>
    <t>10</t>
  </si>
  <si>
    <t>MTL900 Keys</t>
  </si>
  <si>
    <t>MTL1000 Keys</t>
  </si>
  <si>
    <t>27mm Side</t>
  </si>
  <si>
    <t>NE/NEG size</t>
  </si>
  <si>
    <t>Box MTL Platforms</t>
  </si>
  <si>
    <t>Double profile 110/111 CN</t>
  </si>
  <si>
    <t>Double profile 120/121 CN</t>
  </si>
  <si>
    <t>Double profile 115/116 CN</t>
  </si>
  <si>
    <t>Single cyl 42.5 CN</t>
  </si>
  <si>
    <t>Single cyl 47.5 CN</t>
  </si>
  <si>
    <t>Single cyl 40.5 CN</t>
  </si>
  <si>
    <t>Single cyl 32.5 CN</t>
  </si>
  <si>
    <t>Single cyl 44.5 CN</t>
  </si>
  <si>
    <t>Single cyl 49.5 CN</t>
  </si>
  <si>
    <t>Single cyl 54.5 CN</t>
  </si>
  <si>
    <t>Single cyl 59.5 CN</t>
  </si>
  <si>
    <t>Single cyl 64.5 CN</t>
  </si>
  <si>
    <t>Single cyl 69.5 CN</t>
  </si>
  <si>
    <t>Single cyl 74.5 CN</t>
  </si>
  <si>
    <t>Single cyl 79.5 CN</t>
  </si>
  <si>
    <t>Single cyl 84.5 CN</t>
  </si>
  <si>
    <t>Single cyl 89.5 CN</t>
  </si>
  <si>
    <t>Single cyl 94.5 CN</t>
  </si>
  <si>
    <t>Single cyl 99.5 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</si>
</sst>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 * #,##0.0000_ ;_ * \-#,##0.0000_ ;_ * &quot;-&quot;??_ ;_ @_ "/>
  </numFmts>
  <fonts count="40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MS Sans Serif"/>
      <family val="2"/>
      <charset val="177"/>
    </font>
    <font>
      <b/>
      <u/>
      <sz val="10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  <charset val="177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u/>
      <sz val="10"/>
      <color indexed="9"/>
      <name val="Arial"/>
      <family val="2"/>
    </font>
    <font>
      <u/>
      <sz val="10"/>
      <color indexed="9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0"/>
      <color indexed="18"/>
      <name val="Verdana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Symbol"/>
      <family val="1"/>
      <charset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62"/>
        <b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9"/>
      </right>
      <top/>
      <bottom style="thick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9">
    <xf numFmtId="0" fontId="0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1" fillId="0" borderId="0"/>
    <xf numFmtId="0" fontId="4" fillId="0" borderId="0"/>
    <xf numFmtId="0" fontId="28" fillId="1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2">
    <xf numFmtId="0" fontId="0" fillId="0" borderId="0" xfId="0"/>
    <xf numFmtId="0" fontId="27" fillId="0" borderId="0" xfId="2"/>
    <xf numFmtId="164" fontId="27" fillId="0" borderId="0" xfId="2" applyNumberFormat="1"/>
    <xf numFmtId="165" fontId="27" fillId="0" borderId="0" xfId="2" applyNumberFormat="1"/>
    <xf numFmtId="0" fontId="2" fillId="0" borderId="0" xfId="0" applyFont="1"/>
    <xf numFmtId="0" fontId="7" fillId="0" borderId="0" xfId="2" applyFont="1"/>
    <xf numFmtId="0" fontId="27" fillId="0" borderId="0" xfId="2" applyFill="1"/>
    <xf numFmtId="0" fontId="1" fillId="0" borderId="0" xfId="4"/>
    <xf numFmtId="0" fontId="8" fillId="2" borderId="1" xfId="4" applyFont="1" applyFill="1" applyBorder="1" applyAlignment="1">
      <alignment wrapText="1"/>
    </xf>
    <xf numFmtId="0" fontId="2" fillId="0" borderId="0" xfId="4" applyFont="1"/>
    <xf numFmtId="0" fontId="2" fillId="0" borderId="0" xfId="4" applyFont="1" applyAlignment="1">
      <alignment horizontal="center"/>
    </xf>
    <xf numFmtId="0" fontId="27" fillId="0" borderId="0" xfId="3" applyBorder="1"/>
    <xf numFmtId="0" fontId="7" fillId="0" borderId="0" xfId="3" applyFont="1" applyBorder="1"/>
    <xf numFmtId="0" fontId="1" fillId="0" borderId="0" xfId="2" applyFont="1"/>
    <xf numFmtId="0" fontId="2" fillId="0" borderId="0" xfId="4" applyFont="1" applyBorder="1"/>
    <xf numFmtId="0" fontId="2" fillId="0" borderId="0" xfId="4" applyFont="1" applyBorder="1" applyAlignment="1">
      <alignment horizontal="center"/>
    </xf>
    <xf numFmtId="0" fontId="8" fillId="2" borderId="1" xfId="4" applyFont="1" applyFill="1" applyBorder="1"/>
    <xf numFmtId="0" fontId="9" fillId="3" borderId="2" xfId="4" applyFont="1" applyFill="1" applyBorder="1" applyAlignment="1">
      <alignment horizontal="left"/>
    </xf>
    <xf numFmtId="0" fontId="9" fillId="3" borderId="3" xfId="4" applyFont="1" applyFill="1" applyBorder="1" applyAlignment="1">
      <alignment horizontal="center"/>
    </xf>
    <xf numFmtId="0" fontId="9" fillId="4" borderId="3" xfId="4" applyFont="1" applyFill="1" applyBorder="1"/>
    <xf numFmtId="0" fontId="9" fillId="4" borderId="3" xfId="4" applyFont="1" applyFill="1" applyBorder="1" applyAlignment="1">
      <alignment horizontal="center"/>
    </xf>
    <xf numFmtId="0" fontId="12" fillId="5" borderId="0" xfId="3" applyFont="1" applyFill="1" applyBorder="1" applyAlignment="1" applyProtection="1">
      <alignment horizontal="center"/>
      <protection hidden="1"/>
    </xf>
    <xf numFmtId="0" fontId="9" fillId="0" borderId="0" xfId="4" applyFont="1" applyFill="1" applyBorder="1"/>
    <xf numFmtId="0" fontId="9" fillId="0" borderId="0" xfId="4" applyFont="1" applyFill="1" applyBorder="1" applyAlignment="1">
      <alignment horizontal="center"/>
    </xf>
    <xf numFmtId="0" fontId="2" fillId="6" borderId="0" xfId="4" applyFont="1" applyFill="1"/>
    <xf numFmtId="0" fontId="1" fillId="0" borderId="0" xfId="4" applyFont="1"/>
    <xf numFmtId="0" fontId="8" fillId="2" borderId="4" xfId="4" applyFont="1" applyFill="1" applyBorder="1"/>
    <xf numFmtId="0" fontId="9" fillId="3" borderId="5" xfId="4" applyFont="1" applyFill="1" applyBorder="1"/>
    <xf numFmtId="0" fontId="9" fillId="3" borderId="5" xfId="4" applyFont="1" applyFill="1" applyBorder="1" applyAlignment="1">
      <alignment horizontal="center"/>
    </xf>
    <xf numFmtId="0" fontId="9" fillId="3" borderId="6" xfId="4" applyFont="1" applyFill="1" applyBorder="1" applyAlignment="1">
      <alignment horizontal="center"/>
    </xf>
    <xf numFmtId="0" fontId="9" fillId="4" borderId="7" xfId="4" applyFont="1" applyFill="1" applyBorder="1" applyAlignment="1">
      <alignment horizontal="center"/>
    </xf>
    <xf numFmtId="0" fontId="9" fillId="3" borderId="3" xfId="4" applyFont="1" applyFill="1" applyBorder="1"/>
    <xf numFmtId="0" fontId="9" fillId="3" borderId="7" xfId="4" applyFont="1" applyFill="1" applyBorder="1" applyAlignment="1">
      <alignment horizontal="center"/>
    </xf>
    <xf numFmtId="0" fontId="9" fillId="3" borderId="3" xfId="4" applyFont="1" applyFill="1" applyBorder="1" applyAlignment="1">
      <alignment horizontal="left" indent="2"/>
    </xf>
    <xf numFmtId="0" fontId="9" fillId="4" borderId="3" xfId="4" applyFont="1" applyFill="1" applyBorder="1" applyAlignment="1">
      <alignment horizontal="left" wrapText="1" indent="2"/>
    </xf>
    <xf numFmtId="0" fontId="9" fillId="3" borderId="8" xfId="4" applyFont="1" applyFill="1" applyBorder="1" applyAlignment="1">
      <alignment horizontal="left" indent="2"/>
    </xf>
    <xf numFmtId="0" fontId="9" fillId="3" borderId="8" xfId="4" applyFont="1" applyFill="1" applyBorder="1" applyAlignment="1">
      <alignment horizontal="center"/>
    </xf>
    <xf numFmtId="0" fontId="9" fillId="3" borderId="0" xfId="4" applyFont="1" applyFill="1" applyAlignment="1">
      <alignment horizontal="center"/>
    </xf>
    <xf numFmtId="0" fontId="2" fillId="0" borderId="0" xfId="4" applyFont="1" applyAlignment="1">
      <alignment horizontal="right"/>
    </xf>
    <xf numFmtId="0" fontId="2" fillId="0" borderId="0" xfId="4" quotePrefix="1" applyFont="1" applyAlignment="1">
      <alignment horizontal="right"/>
    </xf>
    <xf numFmtId="0" fontId="8" fillId="7" borderId="0" xfId="4" applyFont="1" applyFill="1"/>
    <xf numFmtId="0" fontId="2" fillId="0" borderId="0" xfId="4" applyFont="1" applyBorder="1" applyAlignment="1"/>
    <xf numFmtId="0" fontId="9" fillId="4" borderId="8" xfId="4" applyFont="1" applyFill="1" applyBorder="1"/>
    <xf numFmtId="0" fontId="9" fillId="4" borderId="8" xfId="4" applyFont="1" applyFill="1" applyBorder="1" applyAlignment="1">
      <alignment horizontal="center"/>
    </xf>
    <xf numFmtId="0" fontId="9" fillId="4" borderId="0" xfId="4" applyFont="1" applyFill="1" applyBorder="1" applyAlignment="1">
      <alignment horizontal="center"/>
    </xf>
    <xf numFmtId="0" fontId="10" fillId="2" borderId="0" xfId="4" applyFont="1" applyFill="1" applyBorder="1" applyAlignment="1">
      <alignment horizontal="right" vertical="top"/>
    </xf>
    <xf numFmtId="0" fontId="11" fillId="0" borderId="0" xfId="4" applyFont="1" applyBorder="1" applyAlignment="1">
      <alignment horizontal="left"/>
    </xf>
    <xf numFmtId="0" fontId="5" fillId="0" borderId="0" xfId="4" applyFont="1"/>
    <xf numFmtId="0" fontId="2" fillId="6" borderId="9" xfId="4" applyFont="1" applyFill="1" applyBorder="1"/>
    <xf numFmtId="0" fontId="2" fillId="0" borderId="9" xfId="4" applyFont="1" applyBorder="1"/>
    <xf numFmtId="0" fontId="1" fillId="0" borderId="9" xfId="4" applyFont="1" applyBorder="1"/>
    <xf numFmtId="0" fontId="8" fillId="8" borderId="0" xfId="4" applyFont="1" applyFill="1" applyAlignment="1">
      <alignment horizontal="center"/>
    </xf>
    <xf numFmtId="0" fontId="0" fillId="0" borderId="0" xfId="4" applyFont="1" applyAlignment="1">
      <alignment horizontal="left"/>
    </xf>
    <xf numFmtId="0" fontId="1" fillId="10" borderId="0" xfId="4" applyFont="1" applyFill="1" applyBorder="1" applyProtection="1">
      <protection hidden="1"/>
    </xf>
    <xf numFmtId="0" fontId="1" fillId="10" borderId="0" xfId="4" applyFill="1" applyBorder="1" applyProtection="1">
      <protection hidden="1"/>
    </xf>
    <xf numFmtId="0" fontId="1" fillId="0" borderId="0" xfId="4" applyBorder="1" applyProtection="1">
      <protection hidden="1"/>
    </xf>
    <xf numFmtId="0" fontId="27" fillId="0" borderId="0" xfId="3" applyBorder="1" applyProtection="1">
      <protection hidden="1"/>
    </xf>
    <xf numFmtId="164" fontId="27" fillId="0" borderId="0" xfId="3" applyNumberFormat="1" applyBorder="1" applyProtection="1">
      <protection hidden="1"/>
    </xf>
    <xf numFmtId="0" fontId="7" fillId="0" borderId="0" xfId="3" applyFont="1" applyBorder="1" applyProtection="1">
      <protection hidden="1"/>
    </xf>
    <xf numFmtId="164" fontId="7" fillId="0" borderId="0" xfId="3" applyNumberFormat="1" applyFont="1" applyBorder="1" applyProtection="1">
      <protection hidden="1"/>
    </xf>
    <xf numFmtId="0" fontId="1" fillId="0" borderId="0" xfId="4" applyFill="1" applyBorder="1" applyProtection="1">
      <protection hidden="1"/>
    </xf>
    <xf numFmtId="165" fontId="27" fillId="0" borderId="0" xfId="3" applyNumberFormat="1" applyBorder="1" applyProtection="1">
      <protection hidden="1"/>
    </xf>
    <xf numFmtId="165" fontId="7" fillId="0" borderId="0" xfId="3" applyNumberFormat="1" applyFont="1" applyBorder="1" applyProtection="1">
      <protection hidden="1"/>
    </xf>
    <xf numFmtId="0" fontId="1" fillId="0" borderId="0" xfId="4" applyFont="1" applyBorder="1" applyProtection="1">
      <protection hidden="1"/>
    </xf>
    <xf numFmtId="0" fontId="27" fillId="0" borderId="0" xfId="3" applyProtection="1">
      <protection hidden="1"/>
    </xf>
    <xf numFmtId="0" fontId="7" fillId="0" borderId="0" xfId="3" applyFont="1" applyProtection="1">
      <protection hidden="1"/>
    </xf>
    <xf numFmtId="164" fontId="7" fillId="0" borderId="0" xfId="3" applyNumberFormat="1" applyFont="1" applyProtection="1">
      <protection hidden="1"/>
    </xf>
    <xf numFmtId="165" fontId="1" fillId="0" borderId="0" xfId="4" applyNumberFormat="1" applyBorder="1" applyProtection="1">
      <protection hidden="1"/>
    </xf>
    <xf numFmtId="164" fontId="27" fillId="0" borderId="0" xfId="3" applyNumberFormat="1" applyProtection="1">
      <protection hidden="1"/>
    </xf>
    <xf numFmtId="0" fontId="4" fillId="0" borderId="0" xfId="5" applyFill="1" applyBorder="1" applyProtection="1">
      <protection hidden="1"/>
    </xf>
    <xf numFmtId="2" fontId="4" fillId="0" borderId="0" xfId="5" applyNumberFormat="1" applyFill="1" applyBorder="1" applyProtection="1">
      <protection hidden="1"/>
    </xf>
    <xf numFmtId="0" fontId="4" fillId="0" borderId="0" xfId="5" applyFont="1" applyFill="1" applyBorder="1" applyProtection="1">
      <protection hidden="1"/>
    </xf>
    <xf numFmtId="0" fontId="7" fillId="0" borderId="0" xfId="2" applyFont="1" applyProtection="1">
      <protection hidden="1"/>
    </xf>
    <xf numFmtId="0" fontId="27" fillId="5" borderId="0" xfId="2" applyFill="1" applyProtection="1">
      <protection hidden="1"/>
    </xf>
    <xf numFmtId="0" fontId="27" fillId="0" borderId="0" xfId="2" applyFill="1" applyProtection="1">
      <protection hidden="1"/>
    </xf>
    <xf numFmtId="165" fontId="27" fillId="0" borderId="0" xfId="2" applyNumberFormat="1" applyProtection="1">
      <protection hidden="1"/>
    </xf>
    <xf numFmtId="0" fontId="27" fillId="0" borderId="0" xfId="3" applyFill="1" applyBorder="1" applyProtection="1">
      <protection hidden="1"/>
    </xf>
    <xf numFmtId="49" fontId="7" fillId="0" borderId="0" xfId="3" applyNumberFormat="1" applyFont="1" applyBorder="1" applyProtection="1">
      <protection hidden="1"/>
    </xf>
    <xf numFmtId="165" fontId="7" fillId="0" borderId="0" xfId="3" applyNumberFormat="1" applyFont="1" applyProtection="1">
      <protection hidden="1"/>
    </xf>
    <xf numFmtId="2" fontId="4" fillId="0" borderId="0" xfId="5" applyNumberFormat="1" applyFont="1" applyFill="1" applyBorder="1" applyProtection="1">
      <protection hidden="1"/>
    </xf>
    <xf numFmtId="166" fontId="27" fillId="0" borderId="0" xfId="3" applyNumberFormat="1" applyBorder="1" applyProtection="1">
      <protection hidden="1"/>
    </xf>
    <xf numFmtId="0" fontId="1" fillId="0" borderId="0" xfId="4" applyProtection="1">
      <protection hidden="1"/>
    </xf>
    <xf numFmtId="0" fontId="1" fillId="0" borderId="0" xfId="4" applyAlignment="1" applyProtection="1">
      <protection hidden="1"/>
    </xf>
    <xf numFmtId="0" fontId="3" fillId="0" borderId="0" xfId="0" applyFont="1" applyBorder="1" applyProtection="1">
      <protection hidden="1"/>
    </xf>
    <xf numFmtId="0" fontId="6" fillId="11" borderId="0" xfId="0" applyFont="1" applyFill="1" applyAlignment="1" applyProtection="1">
      <alignment horizontal="right"/>
      <protection hidden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4" applyFont="1" applyBorder="1" applyAlignment="1">
      <alignment horizontal="center"/>
    </xf>
    <xf numFmtId="164" fontId="27" fillId="0" borderId="0" xfId="2" applyNumberFormat="1" applyFill="1"/>
    <xf numFmtId="164" fontId="27" fillId="0" borderId="0" xfId="8" applyFont="1"/>
    <xf numFmtId="0" fontId="27" fillId="0" borderId="0" xfId="3" applyBorder="1" applyAlignment="1" applyProtection="1">
      <protection hidden="1"/>
    </xf>
    <xf numFmtId="0" fontId="3" fillId="0" borderId="0" xfId="0" applyFont="1"/>
    <xf numFmtId="0" fontId="1" fillId="0" borderId="0" xfId="2" applyFont="1" applyAlignment="1" applyProtection="1">
      <alignment horizontal="center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" fillId="0" borderId="0" xfId="2" applyFont="1" applyProtection="1">
      <protection hidden="1"/>
    </xf>
    <xf numFmtId="0" fontId="1" fillId="0" borderId="0" xfId="2" applyFont="1" applyAlignment="1" applyProtection="1">
      <alignment horizontal="left"/>
      <protection hidden="1"/>
    </xf>
    <xf numFmtId="0" fontId="19" fillId="0" borderId="0" xfId="2" applyFont="1" applyProtection="1">
      <protection hidden="1"/>
    </xf>
    <xf numFmtId="0" fontId="1" fillId="0" borderId="0" xfId="2" applyFont="1" applyAlignment="1" applyProtection="1">
      <alignment horizontal="right"/>
      <protection hidden="1"/>
    </xf>
    <xf numFmtId="0" fontId="1" fillId="0" borderId="11" xfId="2" applyFont="1" applyBorder="1" applyAlignment="1" applyProtection="1">
      <alignment horizontal="right"/>
      <protection hidden="1"/>
    </xf>
    <xf numFmtId="0" fontId="1" fillId="11" borderId="0" xfId="2" applyFont="1" applyFill="1" applyAlignment="1" applyProtection="1">
      <alignment horizontal="left"/>
      <protection hidden="1"/>
    </xf>
    <xf numFmtId="0" fontId="1" fillId="0" borderId="11" xfId="2" applyFont="1" applyBorder="1" applyAlignment="1" applyProtection="1">
      <alignment horizontal="left"/>
      <protection hidden="1"/>
    </xf>
    <xf numFmtId="0" fontId="1" fillId="0" borderId="11" xfId="2" applyFont="1" applyBorder="1" applyAlignment="1" applyProtection="1">
      <alignment horizontal="center"/>
      <protection hidden="1"/>
    </xf>
    <xf numFmtId="0" fontId="1" fillId="0" borderId="0" xfId="2" applyFont="1" applyFill="1" applyBorder="1" applyAlignment="1" applyProtection="1">
      <alignment horizontal="center" wrapText="1"/>
      <protection hidden="1"/>
    </xf>
    <xf numFmtId="0" fontId="1" fillId="0" borderId="0" xfId="2" applyFont="1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19" fillId="0" borderId="0" xfId="2" applyFont="1" applyFill="1" applyBorder="1" applyAlignment="1" applyProtection="1">
      <alignment horizontal="center"/>
      <protection hidden="1"/>
    </xf>
    <xf numFmtId="0" fontId="2" fillId="9" borderId="0" xfId="0" applyFont="1" applyFill="1" applyBorder="1" applyAlignment="1" applyProtection="1">
      <alignment horizontal="left"/>
      <protection hidden="1"/>
    </xf>
    <xf numFmtId="0" fontId="1" fillId="0" borderId="0" xfId="2" applyFont="1" applyFill="1" applyBorder="1" applyAlignment="1" applyProtection="1">
      <alignment horizontal="right" wrapText="1"/>
      <protection hidden="1"/>
    </xf>
    <xf numFmtId="0" fontId="19" fillId="0" borderId="0" xfId="2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19" fillId="0" borderId="0" xfId="2" applyFont="1" applyAlignment="1" applyProtection="1">
      <alignment horizontal="left"/>
      <protection hidden="1"/>
    </xf>
    <xf numFmtId="0" fontId="21" fillId="0" borderId="0" xfId="2" applyFont="1" applyProtection="1">
      <protection hidden="1"/>
    </xf>
    <xf numFmtId="0" fontId="19" fillId="0" borderId="0" xfId="2" applyFont="1" applyAlignment="1" applyProtection="1">
      <alignment horizontal="right"/>
      <protection hidden="1"/>
    </xf>
    <xf numFmtId="0" fontId="20" fillId="0" borderId="0" xfId="2" applyFont="1" applyAlignment="1" applyProtection="1">
      <alignment horizontal="right"/>
      <protection hidden="1"/>
    </xf>
    <xf numFmtId="0" fontId="1" fillId="0" borderId="0" xfId="2" applyFont="1" applyAlignment="1" applyProtection="1">
      <alignment wrapText="1"/>
      <protection hidden="1"/>
    </xf>
    <xf numFmtId="0" fontId="2" fillId="11" borderId="12" xfId="2" applyFont="1" applyFill="1" applyBorder="1" applyAlignment="1" applyProtection="1">
      <alignment horizontal="left"/>
      <protection hidden="1"/>
    </xf>
    <xf numFmtId="0" fontId="22" fillId="11" borderId="12" xfId="2" applyFont="1" applyFill="1" applyBorder="1" applyAlignment="1" applyProtection="1">
      <alignment horizontal="left"/>
      <protection hidden="1"/>
    </xf>
    <xf numFmtId="0" fontId="2" fillId="0" borderId="11" xfId="2" applyFont="1" applyBorder="1" applyAlignment="1" applyProtection="1">
      <alignment horizontal="left"/>
      <protection hidden="1"/>
    </xf>
    <xf numFmtId="0" fontId="6" fillId="11" borderId="0" xfId="0" applyFont="1" applyFill="1" applyAlignment="1" applyProtection="1">
      <alignment horizontal="left"/>
      <protection hidden="1"/>
    </xf>
    <xf numFmtId="0" fontId="12" fillId="5" borderId="0" xfId="3" applyFont="1" applyFill="1" applyBorder="1" applyAlignment="1" applyProtection="1">
      <protection hidden="1"/>
    </xf>
    <xf numFmtId="0" fontId="30" fillId="0" borderId="0" xfId="2" applyFont="1"/>
    <xf numFmtId="164" fontId="30" fillId="0" borderId="0" xfId="8" applyFont="1"/>
    <xf numFmtId="0" fontId="31" fillId="0" borderId="0" xfId="2" applyFont="1"/>
    <xf numFmtId="165" fontId="30" fillId="0" borderId="0" xfId="2" applyNumberFormat="1" applyFont="1"/>
    <xf numFmtId="0" fontId="30" fillId="0" borderId="0" xfId="3" applyFont="1" applyBorder="1"/>
    <xf numFmtId="0" fontId="32" fillId="0" borderId="0" xfId="0" applyFont="1" applyAlignment="1">
      <alignment horizontal="left"/>
    </xf>
    <xf numFmtId="0" fontId="33" fillId="0" borderId="0" xfId="0" applyFont="1"/>
    <xf numFmtId="164" fontId="30" fillId="0" borderId="0" xfId="2" applyNumberFormat="1" applyFont="1"/>
    <xf numFmtId="0" fontId="31" fillId="0" borderId="0" xfId="2" applyFont="1" applyFill="1"/>
    <xf numFmtId="165" fontId="30" fillId="0" borderId="0" xfId="2" applyNumberFormat="1" applyFont="1" applyFill="1"/>
    <xf numFmtId="0" fontId="31" fillId="0" borderId="0" xfId="3" applyFont="1" applyBorder="1"/>
    <xf numFmtId="49" fontId="31" fillId="0" borderId="0" xfId="3" applyNumberFormat="1" applyFont="1" applyBorder="1"/>
    <xf numFmtId="0" fontId="33" fillId="0" borderId="0" xfId="0" applyFont="1" applyAlignment="1" applyProtection="1">
      <alignment horizontal="left"/>
      <protection hidden="1"/>
    </xf>
    <xf numFmtId="0" fontId="30" fillId="0" borderId="0" xfId="2" applyFont="1" applyFill="1"/>
    <xf numFmtId="0" fontId="30" fillId="0" borderId="0" xfId="3" applyFont="1" applyFill="1" applyBorder="1"/>
    <xf numFmtId="0" fontId="33" fillId="0" borderId="0" xfId="0" applyFont="1" applyAlignment="1">
      <alignment horizontal="left"/>
    </xf>
    <xf numFmtId="0" fontId="23" fillId="0" borderId="11" xfId="2" applyFont="1" applyBorder="1" applyAlignment="1" applyProtection="1">
      <alignment horizontal="left"/>
      <protection hidden="1"/>
    </xf>
    <xf numFmtId="164" fontId="27" fillId="0" borderId="0" xfId="8" applyFont="1" applyBorder="1" applyProtection="1">
      <protection hidden="1"/>
    </xf>
    <xf numFmtId="9" fontId="30" fillId="0" borderId="0" xfId="2" applyNumberFormat="1" applyFont="1" applyFill="1"/>
    <xf numFmtId="0" fontId="31" fillId="0" borderId="0" xfId="3" applyFont="1" applyFill="1" applyBorder="1"/>
    <xf numFmtId="0" fontId="33" fillId="0" borderId="0" xfId="0" applyFont="1" applyFill="1"/>
    <xf numFmtId="0" fontId="33" fillId="0" borderId="0" xfId="0" applyFont="1" applyFill="1" applyAlignment="1">
      <alignment horizontal="left"/>
    </xf>
    <xf numFmtId="167" fontId="0" fillId="0" borderId="0" xfId="8" applyNumberFormat="1" applyFont="1"/>
    <xf numFmtId="164" fontId="30" fillId="0" borderId="0" xfId="8" applyNumberFormat="1" applyFont="1"/>
    <xf numFmtId="164" fontId="7" fillId="0" borderId="0" xfId="8" applyFont="1" applyBorder="1" applyProtection="1">
      <protection hidden="1"/>
    </xf>
    <xf numFmtId="0" fontId="34" fillId="0" borderId="0" xfId="0" applyFont="1" applyAlignment="1">
      <alignment horizontal="left" vertical="center" indent="8" readingOrder="1"/>
    </xf>
    <xf numFmtId="0" fontId="33" fillId="0" borderId="0" xfId="2" applyFont="1"/>
    <xf numFmtId="0" fontId="30" fillId="13" borderId="0" xfId="2" applyFont="1" applyFill="1"/>
    <xf numFmtId="164" fontId="30" fillId="14" borderId="0" xfId="8" applyFont="1" applyFill="1"/>
    <xf numFmtId="10" fontId="30" fillId="0" borderId="0" xfId="7" applyNumberFormat="1" applyFont="1"/>
    <xf numFmtId="0" fontId="1" fillId="15" borderId="0" xfId="2" applyFont="1" applyFill="1" applyAlignment="1" applyProtection="1">
      <alignment horizontal="center"/>
      <protection hidden="1"/>
    </xf>
    <xf numFmtId="0" fontId="1" fillId="15" borderId="0" xfId="2" applyFont="1" applyFill="1" applyAlignment="1" applyProtection="1">
      <alignment horizontal="center" wrapText="1"/>
      <protection hidden="1"/>
    </xf>
    <xf numFmtId="164" fontId="19" fillId="0" borderId="0" xfId="8" applyFont="1" applyAlignment="1" applyProtection="1">
      <alignment horizontal="center"/>
      <protection hidden="1"/>
    </xf>
    <xf numFmtId="0" fontId="29" fillId="0" borderId="0" xfId="0" applyFont="1" applyBorder="1" applyProtection="1">
      <protection hidden="1"/>
    </xf>
    <xf numFmtId="0" fontId="35" fillId="0" borderId="0" xfId="2" applyFont="1"/>
    <xf numFmtId="0" fontId="30" fillId="0" borderId="10" xfId="2" applyFont="1" applyBorder="1"/>
    <xf numFmtId="165" fontId="30" fillId="0" borderId="10" xfId="2" applyNumberFormat="1" applyFont="1" applyBorder="1"/>
    <xf numFmtId="164" fontId="3" fillId="0" borderId="0" xfId="8" applyFont="1"/>
    <xf numFmtId="165" fontId="30" fillId="0" borderId="0" xfId="2" applyNumberFormat="1" applyFont="1" applyFill="1" applyAlignment="1">
      <alignment horizontal="left"/>
    </xf>
    <xf numFmtId="0" fontId="30" fillId="16" borderId="0" xfId="2" applyNumberFormat="1" applyFont="1" applyFill="1"/>
    <xf numFmtId="0" fontId="12" fillId="0" borderId="0" xfId="2" applyFont="1" applyProtection="1">
      <protection hidden="1"/>
    </xf>
    <xf numFmtId="0" fontId="36" fillId="5" borderId="0" xfId="2" applyFont="1" applyFill="1" applyAlignment="1">
      <alignment horizontal="center"/>
    </xf>
    <xf numFmtId="164" fontId="1" fillId="0" borderId="0" xfId="8"/>
    <xf numFmtId="0" fontId="8" fillId="2" borderId="0" xfId="4" applyFont="1" applyFill="1" applyAlignment="1">
      <alignment wrapText="1"/>
    </xf>
    <xf numFmtId="0" fontId="2" fillId="0" borderId="0" xfId="4" applyFont="1" applyFill="1" applyAlignment="1">
      <alignment horizontal="center"/>
    </xf>
    <xf numFmtId="0" fontId="24" fillId="4" borderId="0" xfId="6" applyFont="1" applyFill="1" applyBorder="1" applyAlignment="1">
      <alignment horizontal="center"/>
    </xf>
    <xf numFmtId="0" fontId="24" fillId="4" borderId="8" xfId="6" applyFont="1" applyFill="1" applyBorder="1" applyAlignment="1">
      <alignment horizontal="center"/>
    </xf>
    <xf numFmtId="0" fontId="8" fillId="2" borderId="4" xfId="4" applyFont="1" applyFill="1" applyBorder="1" applyAlignment="1">
      <alignment wrapText="1"/>
    </xf>
    <xf numFmtId="0" fontId="24" fillId="4" borderId="8" xfId="6" applyFont="1" applyFill="1" applyBorder="1"/>
    <xf numFmtId="0" fontId="8" fillId="2" borderId="0" xfId="4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26" fillId="2" borderId="0" xfId="4" applyFont="1" applyFill="1" applyAlignment="1">
      <alignment wrapText="1"/>
    </xf>
    <xf numFmtId="0" fontId="25" fillId="0" borderId="0" xfId="4" applyFont="1"/>
    <xf numFmtId="0" fontId="25" fillId="0" borderId="0" xfId="4" applyFont="1" applyAlignment="1">
      <alignment horizontal="center"/>
    </xf>
    <xf numFmtId="0" fontId="2" fillId="0" borderId="0" xfId="3" applyFont="1" applyBorder="1" applyAlignment="1" applyProtection="1">
      <protection hidden="1"/>
    </xf>
    <xf numFmtId="0" fontId="25" fillId="0" borderId="0" xfId="3" applyFont="1" applyBorder="1" applyAlignment="1" applyProtection="1">
      <protection hidden="1"/>
    </xf>
    <xf numFmtId="0" fontId="25" fillId="0" borderId="0" xfId="4" applyFont="1" applyBorder="1" applyAlignment="1">
      <alignment horizontal="center"/>
    </xf>
    <xf numFmtId="0" fontId="25" fillId="0" borderId="0" xfId="2" applyFont="1" applyFill="1"/>
    <xf numFmtId="0" fontId="12" fillId="5" borderId="0" xfId="3" applyFont="1" applyFill="1" applyAlignment="1" applyProtection="1">
      <alignment horizontal="center"/>
      <protection hidden="1"/>
    </xf>
    <xf numFmtId="0" fontId="37" fillId="5" borderId="0" xfId="2" applyFont="1" applyFill="1" applyAlignment="1" applyProtection="1">
      <alignment horizontal="center"/>
      <protection hidden="1"/>
    </xf>
    <xf numFmtId="0" fontId="2" fillId="0" borderId="13" xfId="2" applyFont="1" applyBorder="1" applyAlignment="1" applyProtection="1">
      <protection hidden="1"/>
    </xf>
    <xf numFmtId="0" fontId="2" fillId="0" borderId="14" xfId="2" applyFont="1" applyBorder="1" applyAlignment="1" applyProtection="1">
      <protection hidden="1"/>
    </xf>
    <xf numFmtId="0" fontId="36" fillId="5" borderId="0" xfId="2" applyFont="1" applyFill="1" applyAlignment="1">
      <alignment horizontal="center"/>
    </xf>
    <xf numFmtId="0" fontId="36" fillId="5" borderId="0" xfId="3" applyFont="1" applyFill="1" applyBorder="1" applyAlignment="1">
      <alignment horizontal="center"/>
    </xf>
    <xf numFmtId="0" fontId="37" fillId="17" borderId="0" xfId="2" applyFont="1" applyFill="1" applyAlignment="1">
      <alignment horizontal="center"/>
    </xf>
    <xf numFmtId="0" fontId="38" fillId="5" borderId="0" xfId="2" applyFont="1" applyFill="1" applyAlignment="1">
      <alignment horizontal="center"/>
    </xf>
    <xf numFmtId="0" fontId="13" fillId="7" borderId="0" xfId="4" applyFont="1" applyFill="1" applyAlignment="1">
      <alignment horizontal="center"/>
    </xf>
    <xf numFmtId="0" fontId="14" fillId="7" borderId="0" xfId="4" applyFont="1" applyFill="1" applyAlignment="1">
      <alignment horizontal="center"/>
    </xf>
    <xf numFmtId="0" fontId="12" fillId="5" borderId="0" xfId="3" applyFont="1" applyFill="1" applyBorder="1" applyAlignment="1" applyProtection="1">
      <alignment horizontal="center"/>
      <protection hidden="1"/>
    </xf>
    <xf numFmtId="0" fontId="12" fillId="5" borderId="0" xfId="2" applyFont="1" applyFill="1" applyAlignment="1">
      <alignment horizontal="center"/>
    </xf>
    <xf numFmtId="0" fontId="12" fillId="5" borderId="0" xfId="3" applyFont="1" applyFill="1" applyAlignment="1" applyProtection="1">
      <alignment horizontal="center"/>
      <protection hidden="1"/>
    </xf>
  </cellXfs>
  <cellStyles count="9">
    <cellStyle name="Comma 2" xfId="1"/>
    <cellStyle name="Normal 2" xfId="2"/>
    <cellStyle name="Normal 2 2" xfId="3"/>
    <cellStyle name="Normal 3" xfId="4"/>
    <cellStyle name="Normal 4" xfId="5"/>
    <cellStyle name="Акцент2" xfId="6" builtinId="33"/>
    <cellStyle name="Обычный" xfId="0" builtinId="0"/>
    <cellStyle name="Процентный" xfId="7" builtinId="5"/>
    <cellStyle name="Финансовый" xfId="8" builtinId="3"/>
  </cellStyles>
  <dxfs count="40">
    <dxf>
      <numFmt numFmtId="167" formatCode="_ * #,##0.0000_ ;_ * \-#,##0.0000_ ;_ * &quot;-&quot;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bottom" textRotation="0" wrapText="0" indent="0" justifyLastLine="0" shrinkToFit="0" readingOrder="0"/>
    </dxf>
    <dxf>
      <border outline="0">
        <bottom style="thick">
          <color indexed="9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2"/>
          <bgColor indexed="62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2"/>
          <bgColor indexed="62"/>
        </patternFill>
      </fill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274320</xdr:colOff>
          <xdr:row>4</xdr:row>
          <xdr:rowOff>22860</xdr:rowOff>
        </xdr:from>
        <xdr:to>
          <xdr:col>1</xdr:col>
          <xdr:colOff>373380</xdr:colOff>
          <xdr:row>5</xdr:row>
          <xdr:rowOff>106680</xdr:rowOff>
        </xdr:to>
        <xdr:sp macro="" textlink="">
          <xdr:nvSpPr>
            <xdr:cNvPr id="9224" name="Button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הסר הגנה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289560</xdr:colOff>
          <xdr:row>6</xdr:row>
          <xdr:rowOff>22860</xdr:rowOff>
        </xdr:from>
        <xdr:to>
          <xdr:col>1</xdr:col>
          <xdr:colOff>381000</xdr:colOff>
          <xdr:row>8</xdr:row>
          <xdr:rowOff>99060</xdr:rowOff>
        </xdr:to>
        <xdr:sp macro="" textlink="">
          <xdr:nvSpPr>
            <xdr:cNvPr id="9225" name="Button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הגן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253999</xdr:colOff>
      <xdr:row>3</xdr:row>
      <xdr:rowOff>50800</xdr:rowOff>
    </xdr:from>
    <xdr:to>
      <xdr:col>19</xdr:col>
      <xdr:colOff>2311399</xdr:colOff>
      <xdr:row>20</xdr:row>
      <xdr:rowOff>84668</xdr:rowOff>
    </xdr:to>
    <xdr:grpSp>
      <xdr:nvGrpSpPr>
        <xdr:cNvPr id="159263" name="קבוצה 5"/>
        <xdr:cNvGrpSpPr>
          <a:grpSpLocks/>
        </xdr:cNvGrpSpPr>
      </xdr:nvGrpSpPr>
      <xdr:grpSpPr bwMode="auto">
        <a:xfrm>
          <a:off x="253999" y="389467"/>
          <a:ext cx="2057400" cy="2912534"/>
          <a:chOff x="0" y="265538"/>
          <a:chExt cx="2677886" cy="3643994"/>
        </a:xfrm>
      </xdr:grpSpPr>
      <xdr:pic>
        <xdr:nvPicPr>
          <xdr:cNvPr id="159265" name="תמונה 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231090"/>
            <a:ext cx="2677886" cy="16784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9266" name="תמונה 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65538"/>
            <a:ext cx="2677885" cy="19022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19</xdr:col>
      <xdr:colOff>2508249</xdr:colOff>
      <xdr:row>30</xdr:row>
      <xdr:rowOff>21166</xdr:rowOff>
    </xdr:from>
    <xdr:to>
      <xdr:col>29</xdr:col>
      <xdr:colOff>497356</xdr:colOff>
      <xdr:row>68</xdr:row>
      <xdr:rowOff>62690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8249" y="4931833"/>
          <a:ext cx="8942857" cy="64761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latProdT" displayName="PlatProdT" ref="C6:M90" insertRowShift="1" totalsRowShown="0" headerRowDxfId="39" dataDxfId="38" headerRowCellStyle="Normal 3">
  <tableColumns count="11">
    <tableColumn id="1" name="Product name" dataDxfId="37"/>
    <tableColumn id="2" name=" 1" dataDxfId="36"/>
    <tableColumn id="3" name=" 2" dataDxfId="35"/>
    <tableColumn id="4" name=" 3" dataDxfId="34"/>
    <tableColumn id="6" name=" 4" dataDxfId="33"/>
    <tableColumn id="5" name=" 5" dataDxfId="32"/>
    <tableColumn id="7" name=" 6" dataDxfId="31"/>
    <tableColumn id="8" name="7" dataDxfId="30"/>
    <tableColumn id="9" name="8" dataDxfId="29"/>
    <tableColumn id="10" name="9" dataDxfId="28"/>
    <tableColumn id="11" name="10" dataDxfId="2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PlatKeyT" displayName="PlatKeyT" ref="C103:M109" totalsRowShown="0" headerRowDxfId="26" dataDxfId="25" headerRowCellStyle="Normal 3">
  <autoFilter ref="C103:M109"/>
  <tableColumns count="11">
    <tableColumn id="1" name="Product name" dataDxfId="24"/>
    <tableColumn id="2" name="7X7 Keys" dataDxfId="23"/>
    <tableColumn id="3" name="Integrator Keys" dataDxfId="22"/>
    <tableColumn id="4" name="Classic Keys" dataDxfId="21"/>
    <tableColumn id="5" name="MTL600 keys" dataDxfId="20"/>
    <tableColumn id="6" name="MTL500 Keys" dataDxfId="19"/>
    <tableColumn id="7" name="MTL800 Keys" dataDxfId="18"/>
    <tableColumn id="8" name="MTL400 keys" dataDxfId="17"/>
    <tableColumn id="9" name="MTL300 keys" dataDxfId="16"/>
    <tableColumn id="10" name="MTL900 Keys" dataDxfId="15"/>
    <tableColumn id="11" name="MTL1000 Keys" dataDxfId="1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7" name="FeatureT" displayName="FeatureT" ref="C94:K98" totalsRowShown="0" headerRowDxfId="13" dataDxfId="11" headerRowBorderDxfId="12" dataCellStyle="Normal 3">
  <autoFilter ref="C94:K98"/>
  <tableColumns count="9">
    <tableColumn id="1" name="`" dataDxfId="10" dataCellStyle="Акцент2"/>
    <tableColumn id="2" name="7X7 products" dataDxfId="9" dataCellStyle="Акцент2"/>
    <tableColumn id="3" name="Integrator products" dataDxfId="8" dataCellStyle="Акцент2"/>
    <tableColumn id="4" name="classic products" dataDxfId="7" dataCellStyle="Акцент2"/>
    <tableColumn id="5" name="Interactive products" dataDxfId="6" dataCellStyle="Акцент2"/>
    <tableColumn id="6" name="MT5 products" dataDxfId="5" dataCellStyle="Акцент2"/>
    <tableColumn id="7" name="MT5+ products" dataDxfId="4" dataCellStyle="Акцент2"/>
    <tableColumn id="8" name="MTL400" dataDxfId="3" dataCellStyle="Акцент2"/>
    <tableColumn id="9" name="MTL300" dataDxfId="2" dataCellStyle="Акцент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8" name="CurrencyT" displayName="CurrencyT" ref="R1:T12" totalsRowShown="0" headerRowDxfId="1">
  <autoFilter ref="R1:T12"/>
  <tableColumns count="3">
    <tableColumn id="1" name="Currency"/>
    <tableColumn id="2" name="To ILS"/>
    <tableColumn id="3" name="Conversion rate" dataDxfId="0" dataCellStyle="Comma 2">
      <calculatedColumnFormula>1/$S$11*S2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AP366"/>
  <sheetViews>
    <sheetView topLeftCell="A85" zoomScale="85" zoomScaleNormal="85" workbookViewId="0">
      <selection activeCell="A102" sqref="A102:C102"/>
    </sheetView>
  </sheetViews>
  <sheetFormatPr defaultColWidth="9.109375" defaultRowHeight="14.4"/>
  <cols>
    <col min="1" max="1" width="27.33203125" style="121" bestFit="1" customWidth="1"/>
    <col min="2" max="2" width="5.109375" style="121" bestFit="1" customWidth="1"/>
    <col min="3" max="3" width="27.33203125" style="121" bestFit="1" customWidth="1"/>
    <col min="4" max="4" width="11.6640625" style="122" bestFit="1" customWidth="1"/>
    <col min="5" max="5" width="2.33203125" style="156" customWidth="1"/>
    <col min="6" max="6" width="28.33203125" style="121" bestFit="1" customWidth="1"/>
    <col min="7" max="7" width="8.88671875" style="92" bestFit="1" customWidth="1"/>
    <col min="8" max="8" width="2.33203125" style="156" customWidth="1"/>
    <col min="9" max="9" width="41.6640625" style="121" bestFit="1" customWidth="1"/>
    <col min="10" max="10" width="8.88671875" style="121" bestFit="1" customWidth="1"/>
    <col min="11" max="11" width="2.33203125" style="156" customWidth="1"/>
    <col min="12" max="12" width="27" style="121" bestFit="1" customWidth="1"/>
    <col min="13" max="13" width="8.109375" style="121" bestFit="1" customWidth="1"/>
    <col min="14" max="14" width="2.33203125" style="156" customWidth="1"/>
    <col min="15" max="15" width="23.5546875" style="121" bestFit="1" customWidth="1"/>
    <col min="16" max="17" width="8.88671875" style="121" bestFit="1" customWidth="1"/>
    <col min="18" max="18" width="2.33203125" style="156" customWidth="1"/>
    <col min="19" max="19" width="37.33203125" style="121" bestFit="1" customWidth="1"/>
    <col min="20" max="20" width="8.88671875" style="121" bestFit="1" customWidth="1"/>
    <col min="21" max="21" width="2.33203125" style="156" customWidth="1"/>
    <col min="22" max="22" width="32.6640625" style="121" bestFit="1" customWidth="1"/>
    <col min="23" max="23" width="8.33203125" style="121" bestFit="1" customWidth="1"/>
    <col min="24" max="24" width="2.33203125" style="156" customWidth="1"/>
    <col min="25" max="25" width="23" style="121" bestFit="1" customWidth="1"/>
    <col min="26" max="26" width="7.6640625" style="121" bestFit="1" customWidth="1"/>
    <col min="27" max="27" width="2.33203125" style="156" customWidth="1"/>
    <col min="28" max="28" width="10.5546875" style="121" bestFit="1" customWidth="1"/>
    <col min="29" max="29" width="25.44140625" style="121" bestFit="1" customWidth="1"/>
    <col min="30" max="30" width="8.88671875" style="121" bestFit="1" customWidth="1"/>
    <col min="31" max="31" width="44" style="121" bestFit="1" customWidth="1"/>
    <col min="32" max="32" width="10.5546875" style="121" bestFit="1" customWidth="1"/>
    <col min="33" max="33" width="23" style="121" customWidth="1"/>
    <col min="34" max="34" width="8.88671875" style="121" bestFit="1" customWidth="1"/>
    <col min="35" max="39" width="9.109375" style="121"/>
    <col min="40" max="40" width="10.5546875" style="121" bestFit="1" customWidth="1"/>
    <col min="41" max="41" width="87.6640625" style="121" bestFit="1" customWidth="1"/>
    <col min="42" max="42" width="10.5546875" style="121" bestFit="1" customWidth="1"/>
    <col min="43" max="16384" width="9.109375" style="121"/>
  </cols>
  <sheetData>
    <row r="1" spans="1:42">
      <c r="A1" s="183" t="s">
        <v>733</v>
      </c>
      <c r="B1" s="183"/>
      <c r="C1" s="183"/>
      <c r="D1" s="183"/>
      <c r="F1" s="183" t="s">
        <v>734</v>
      </c>
      <c r="G1" s="183"/>
      <c r="I1" s="183" t="s">
        <v>735</v>
      </c>
      <c r="J1" s="183"/>
      <c r="L1" s="183" t="s">
        <v>736</v>
      </c>
      <c r="M1" s="183"/>
      <c r="O1" s="183" t="s">
        <v>737</v>
      </c>
      <c r="P1" s="183"/>
      <c r="Q1" s="183"/>
      <c r="S1" s="162" t="s">
        <v>778</v>
      </c>
      <c r="T1" s="162"/>
      <c r="V1" s="183" t="s">
        <v>738</v>
      </c>
      <c r="W1" s="183"/>
      <c r="Y1" s="183" t="s">
        <v>775</v>
      </c>
      <c r="Z1" s="183"/>
      <c r="AC1" s="185" t="s">
        <v>920</v>
      </c>
      <c r="AD1" s="185"/>
      <c r="AF1" s="186" t="s">
        <v>1297</v>
      </c>
      <c r="AG1" s="186"/>
      <c r="AH1" s="186"/>
      <c r="AN1" s="183" t="s">
        <v>1292</v>
      </c>
      <c r="AO1" s="183"/>
      <c r="AP1" s="183"/>
    </row>
    <row r="2" spans="1:42">
      <c r="A2" s="121" t="s">
        <v>670</v>
      </c>
      <c r="B2" s="121" t="s">
        <v>671</v>
      </c>
      <c r="C2" s="121" t="s">
        <v>670</v>
      </c>
      <c r="D2" s="158">
        <f>59.0784*(Logic!$D$131)</f>
        <v>60.850752000000007</v>
      </c>
      <c r="F2" s="121" t="s">
        <v>657</v>
      </c>
      <c r="G2" s="158">
        <f>32.1198*(Logic!$D$131)</f>
        <v>33.083393999999998</v>
      </c>
      <c r="I2" s="134" t="s">
        <v>695</v>
      </c>
      <c r="J2" s="158">
        <f>-2.6826*(Logic!$D$131)</f>
        <v>-2.7630780000000001</v>
      </c>
      <c r="L2" s="134" t="s">
        <v>741</v>
      </c>
      <c r="M2" s="158">
        <f>0*(Logic!$D$131)</f>
        <v>0</v>
      </c>
      <c r="O2" s="121" t="s">
        <v>669</v>
      </c>
      <c r="P2" s="160">
        <v>100</v>
      </c>
      <c r="Q2" s="150">
        <v>0.2</v>
      </c>
      <c r="S2" s="125" t="s">
        <v>845</v>
      </c>
      <c r="T2" s="158">
        <f>2.2236*(Logic!$D$131)</f>
        <v>2.290308</v>
      </c>
      <c r="V2" s="121" t="s">
        <v>668</v>
      </c>
      <c r="W2" s="158">
        <f>0*(Logic!$D$131)</f>
        <v>0</v>
      </c>
      <c r="Y2" s="121" t="s">
        <v>772</v>
      </c>
      <c r="Z2" s="158">
        <f>0*(Logic!$D$131)</f>
        <v>0</v>
      </c>
      <c r="AC2" s="126" t="s">
        <v>921</v>
      </c>
      <c r="AF2" s="155">
        <v>89101769</v>
      </c>
      <c r="AG2" s="155" t="s">
        <v>1298</v>
      </c>
      <c r="AH2" s="158">
        <f>238.2924*(Logic!$D$131)</f>
        <v>245.44117199999999</v>
      </c>
      <c r="AN2" s="127">
        <v>90079151</v>
      </c>
      <c r="AO2" s="127" t="s">
        <v>1151</v>
      </c>
      <c r="AP2" s="158">
        <f>68.7684*(Logic!$D$131)</f>
        <v>70.831451999999999</v>
      </c>
    </row>
    <row r="3" spans="1:42">
      <c r="A3" s="121" t="s">
        <v>666</v>
      </c>
      <c r="B3" s="121" t="s">
        <v>667</v>
      </c>
      <c r="C3" s="121" t="s">
        <v>666</v>
      </c>
      <c r="D3" s="158">
        <f>40.7592*(Logic!$D$131)</f>
        <v>41.981976000000003</v>
      </c>
      <c r="F3" s="121" t="s">
        <v>653</v>
      </c>
      <c r="G3" s="158">
        <f>25.9386*(Logic!$D$131)</f>
        <v>26.716758000000002</v>
      </c>
      <c r="I3" s="134" t="s">
        <v>708</v>
      </c>
      <c r="J3" s="158">
        <f>-0.714*(Logic!$D$131)</f>
        <v>-0.73541999999999996</v>
      </c>
      <c r="L3" s="134" t="s">
        <v>742</v>
      </c>
      <c r="M3" s="158">
        <f>0*(Logic!$D$131)</f>
        <v>0</v>
      </c>
      <c r="O3" s="121" t="s">
        <v>665</v>
      </c>
      <c r="P3" s="121">
        <v>101</v>
      </c>
      <c r="Q3" s="150">
        <v>0.05</v>
      </c>
      <c r="S3" s="125" t="s">
        <v>781</v>
      </c>
      <c r="T3" s="158">
        <f>1.0506*(Logic!$D$131)</f>
        <v>1.0821179999999999</v>
      </c>
      <c r="V3" s="121" t="s">
        <v>664</v>
      </c>
      <c r="W3" s="158">
        <f>3.0396*(Logic!$D$131)</f>
        <v>3.1307880000000003</v>
      </c>
      <c r="Y3" s="121" t="s">
        <v>774</v>
      </c>
      <c r="Z3" s="158">
        <f>0*(Logic!$D$131)</f>
        <v>0</v>
      </c>
      <c r="AB3" s="136">
        <v>84401100</v>
      </c>
      <c r="AC3" s="127" t="s">
        <v>908</v>
      </c>
      <c r="AD3" s="158">
        <f>10.5162*(Logic!$D$131)</f>
        <v>10.831685999999999</v>
      </c>
      <c r="AF3" s="155">
        <v>89101770</v>
      </c>
      <c r="AG3" s="155" t="s">
        <v>1299</v>
      </c>
      <c r="AH3" s="158">
        <f>238.2924*(Logic!$D$131)</f>
        <v>245.44117199999999</v>
      </c>
      <c r="AN3" s="127">
        <v>90079161</v>
      </c>
      <c r="AO3" s="127" t="s">
        <v>1152</v>
      </c>
      <c r="AP3" s="158">
        <f>68.7684*(Logic!$D$131)</f>
        <v>70.831451999999999</v>
      </c>
    </row>
    <row r="4" spans="1:42">
      <c r="A4" s="121" t="s">
        <v>662</v>
      </c>
      <c r="B4" s="121" t="s">
        <v>663</v>
      </c>
      <c r="C4" s="121" t="s">
        <v>662</v>
      </c>
      <c r="D4" s="158">
        <f>59.0784*(Logic!$D$131)</f>
        <v>60.850752000000007</v>
      </c>
      <c r="E4" s="157"/>
      <c r="F4" s="121" t="s">
        <v>886</v>
      </c>
      <c r="G4" s="158">
        <f>41.2182*(Logic!$D$131)</f>
        <v>42.454746000000007</v>
      </c>
      <c r="H4" s="157"/>
      <c r="I4" s="134" t="s">
        <v>702</v>
      </c>
      <c r="J4" s="158">
        <f>-1.2852*(Logic!$D$131)</f>
        <v>-1.3237559999999999</v>
      </c>
      <c r="K4" s="157"/>
      <c r="L4" s="134" t="s">
        <v>743</v>
      </c>
      <c r="M4" s="158">
        <f>7.9356*(Logic!$D$131)</f>
        <v>8.173668000000001</v>
      </c>
      <c r="N4" s="157"/>
      <c r="O4" s="121" t="s">
        <v>661</v>
      </c>
      <c r="P4" s="121">
        <v>102</v>
      </c>
      <c r="Q4" s="150">
        <v>0</v>
      </c>
      <c r="R4" s="157"/>
      <c r="S4" s="125" t="s">
        <v>783</v>
      </c>
      <c r="T4" s="158">
        <f>1.8666*(Logic!$D$131)</f>
        <v>1.922598</v>
      </c>
      <c r="U4" s="157"/>
      <c r="V4" s="121" t="s">
        <v>660</v>
      </c>
      <c r="W4" s="158">
        <f>5.4876*(Logic!$D$131)</f>
        <v>5.652228</v>
      </c>
      <c r="X4" s="157"/>
      <c r="Y4" s="121" t="s">
        <v>831</v>
      </c>
      <c r="Z4" s="158">
        <f>0*(Logic!$D$131)</f>
        <v>0</v>
      </c>
      <c r="AA4" s="157"/>
      <c r="AB4" s="136">
        <v>84401101</v>
      </c>
      <c r="AC4" s="127" t="s">
        <v>909</v>
      </c>
      <c r="AD4" s="158">
        <f>11.7912*(Logic!$D$131)</f>
        <v>12.144936</v>
      </c>
      <c r="AF4" s="155">
        <v>89102042</v>
      </c>
      <c r="AG4" s="155" t="s">
        <v>775</v>
      </c>
      <c r="AH4" s="158">
        <f>5.4876*(Logic!$D$131)</f>
        <v>5.652228</v>
      </c>
      <c r="AN4" s="127">
        <v>90079171</v>
      </c>
      <c r="AO4" s="127" t="s">
        <v>1153</v>
      </c>
      <c r="AP4" s="158">
        <f>133.5588*(Logic!$D$131)</f>
        <v>137.56556399999999</v>
      </c>
    </row>
    <row r="5" spans="1:42">
      <c r="A5" s="91" t="s">
        <v>658</v>
      </c>
      <c r="B5" s="121" t="s">
        <v>659</v>
      </c>
      <c r="C5" s="91" t="s">
        <v>658</v>
      </c>
      <c r="D5" s="158">
        <f>40.7592*(Logic!$D$131)</f>
        <v>41.981976000000003</v>
      </c>
      <c r="E5" s="157"/>
      <c r="F5" s="121" t="s">
        <v>648</v>
      </c>
      <c r="G5" s="158">
        <f>1.5096*(Logic!$D$131)</f>
        <v>1.554888</v>
      </c>
      <c r="H5" s="157"/>
      <c r="I5" s="134" t="s">
        <v>715</v>
      </c>
      <c r="J5" s="158">
        <f>2.5806*(Logic!$D$131)</f>
        <v>2.6580180000000002</v>
      </c>
      <c r="K5" s="157"/>
      <c r="L5" s="134" t="s">
        <v>744</v>
      </c>
      <c r="M5" s="158">
        <f>7.9356*(Logic!$D$131)</f>
        <v>8.173668000000001</v>
      </c>
      <c r="N5" s="157"/>
      <c r="O5" s="121" t="s">
        <v>656</v>
      </c>
      <c r="P5" s="121">
        <v>103</v>
      </c>
      <c r="Q5" s="150">
        <v>-0.17</v>
      </c>
      <c r="R5" s="157"/>
      <c r="S5" s="125" t="s">
        <v>844</v>
      </c>
      <c r="T5" s="158">
        <f>3.7434*(Logic!$D$131)</f>
        <v>3.855702</v>
      </c>
      <c r="U5" s="157"/>
      <c r="V5" s="121" t="s">
        <v>655</v>
      </c>
      <c r="W5" s="158">
        <f>0*(Logic!$D$131)</f>
        <v>0</v>
      </c>
      <c r="X5" s="157"/>
      <c r="Y5" s="121" t="s">
        <v>731</v>
      </c>
      <c r="Z5" s="158">
        <f>0*(Logic!$D$131)</f>
        <v>0</v>
      </c>
      <c r="AA5" s="157"/>
      <c r="AB5" s="136">
        <v>84401102</v>
      </c>
      <c r="AC5" s="127" t="s">
        <v>910</v>
      </c>
      <c r="AD5" s="158">
        <f>12.6582*(Logic!$D$131)</f>
        <v>13.037946000000002</v>
      </c>
      <c r="AF5" s="155">
        <v>89102472</v>
      </c>
      <c r="AG5" s="155" t="s">
        <v>1300</v>
      </c>
      <c r="AH5" s="158">
        <f>216.9336*(Logic!$D$131)</f>
        <v>223.44160800000003</v>
      </c>
      <c r="AN5" s="127">
        <v>90543581</v>
      </c>
      <c r="AO5" s="127" t="s">
        <v>1154</v>
      </c>
      <c r="AP5" s="158">
        <f>9.2208*(Logic!$D$131)</f>
        <v>9.4974240000000005</v>
      </c>
    </row>
    <row r="6" spans="1:42">
      <c r="A6" s="121" t="s">
        <v>15</v>
      </c>
      <c r="B6" s="121" t="s">
        <v>654</v>
      </c>
      <c r="C6" s="121" t="s">
        <v>15</v>
      </c>
      <c r="D6" s="158">
        <f>66.5856*(Logic!$D$131)</f>
        <v>68.583168000000001</v>
      </c>
      <c r="E6" s="157"/>
      <c r="F6" s="121" t="s">
        <v>644</v>
      </c>
      <c r="G6" s="158">
        <f>0*(Logic!$D$131)</f>
        <v>0</v>
      </c>
      <c r="H6" s="157"/>
      <c r="I6" s="134" t="s">
        <v>703</v>
      </c>
      <c r="J6" s="158">
        <f>0*(Logic!$D$131)</f>
        <v>0</v>
      </c>
      <c r="K6" s="157"/>
      <c r="L6" s="134" t="s">
        <v>745</v>
      </c>
      <c r="M6" s="158">
        <f>7.9356*(Logic!$D$131)</f>
        <v>8.173668000000001</v>
      </c>
      <c r="N6" s="157"/>
      <c r="O6" s="121" t="s">
        <v>652</v>
      </c>
      <c r="P6" s="121">
        <v>104</v>
      </c>
      <c r="Q6" s="150">
        <v>-5.96E-2</v>
      </c>
      <c r="R6" s="157"/>
      <c r="S6" s="125" t="s">
        <v>782</v>
      </c>
      <c r="T6" s="158">
        <f>1.6218*(Logic!$D$131)</f>
        <v>1.6704539999999999</v>
      </c>
      <c r="U6" s="157"/>
      <c r="V6" s="121" t="s">
        <v>651</v>
      </c>
      <c r="W6" s="158">
        <f>3.264*(Logic!$D$131)</f>
        <v>3.36192</v>
      </c>
      <c r="X6" s="157"/>
      <c r="Y6" s="121" t="s">
        <v>45</v>
      </c>
      <c r="Z6" s="158">
        <f>2.6826*(Logic!$D$131)</f>
        <v>2.7630780000000001</v>
      </c>
      <c r="AA6" s="157"/>
      <c r="AB6" s="136">
        <v>84401103</v>
      </c>
      <c r="AC6" s="127" t="s">
        <v>911</v>
      </c>
      <c r="AD6" s="158">
        <f>14.2494*(Logic!$D$131)</f>
        <v>14.676882000000001</v>
      </c>
      <c r="AF6" s="155">
        <v>89102473</v>
      </c>
      <c r="AG6" s="155" t="s">
        <v>1301</v>
      </c>
      <c r="AH6" s="158">
        <f>216.9336*(Logic!$D$131)</f>
        <v>223.44160800000003</v>
      </c>
      <c r="AN6" s="127">
        <v>91707418</v>
      </c>
      <c r="AO6" s="127" t="s">
        <v>1155</v>
      </c>
      <c r="AP6" s="158">
        <f>44.0232*(Logic!$D$131)</f>
        <v>45.343896000000001</v>
      </c>
    </row>
    <row r="7" spans="1:42">
      <c r="A7" s="91" t="s">
        <v>649</v>
      </c>
      <c r="B7" s="121" t="s">
        <v>650</v>
      </c>
      <c r="C7" s="91" t="s">
        <v>649</v>
      </c>
      <c r="D7" s="158">
        <f>45.7266*(Logic!$D$131)</f>
        <v>47.098397999999996</v>
      </c>
      <c r="E7" s="157"/>
      <c r="F7" s="121" t="s">
        <v>641</v>
      </c>
      <c r="G7" s="158">
        <f>0*(Logic!$D$131)</f>
        <v>0</v>
      </c>
      <c r="H7" s="157"/>
      <c r="I7" s="134" t="s">
        <v>716</v>
      </c>
      <c r="J7" s="158">
        <f>5.9568*(Logic!$D$131)</f>
        <v>6.1355040000000001</v>
      </c>
      <c r="K7" s="157"/>
      <c r="L7" s="134" t="s">
        <v>746</v>
      </c>
      <c r="M7" s="158">
        <f>7.9356*(Logic!$D$131)</f>
        <v>8.173668000000001</v>
      </c>
      <c r="N7" s="157"/>
      <c r="O7" s="121" t="s">
        <v>647</v>
      </c>
      <c r="P7" s="121">
        <v>105</v>
      </c>
      <c r="Q7" s="150">
        <v>-0.35</v>
      </c>
      <c r="R7" s="157"/>
      <c r="S7" s="125" t="s">
        <v>780</v>
      </c>
      <c r="T7" s="158">
        <f>3.1518*(Logic!$D$131)</f>
        <v>3.2463540000000002</v>
      </c>
      <c r="U7" s="157"/>
      <c r="V7" s="121" t="s">
        <v>646</v>
      </c>
      <c r="W7" s="158">
        <f>5.8242*(Logic!$D$131)</f>
        <v>5.9989260000000009</v>
      </c>
      <c r="X7" s="157"/>
      <c r="Y7" s="121" t="s">
        <v>46</v>
      </c>
      <c r="Z7" s="158">
        <f>3.978*(Logic!$D$131)</f>
        <v>4.09734</v>
      </c>
      <c r="AA7" s="157"/>
      <c r="AB7" s="136">
        <v>84401104</v>
      </c>
      <c r="AC7" s="127" t="s">
        <v>912</v>
      </c>
      <c r="AD7" s="158">
        <f>20.4306*(Logic!$D$131)</f>
        <v>21.043517999999999</v>
      </c>
      <c r="AF7" s="155">
        <v>89102744</v>
      </c>
      <c r="AG7" s="155" t="s">
        <v>1302</v>
      </c>
      <c r="AH7" s="158">
        <f>242.3928*(Logic!$D$131)</f>
        <v>249.66458399999999</v>
      </c>
      <c r="AN7" s="127">
        <v>91702603</v>
      </c>
      <c r="AO7" s="127" t="s">
        <v>1156</v>
      </c>
      <c r="AP7" s="158">
        <f>161.0172*(Logic!$D$131)</f>
        <v>165.84771600000002</v>
      </c>
    </row>
    <row r="8" spans="1:42">
      <c r="A8" s="121" t="s">
        <v>16</v>
      </c>
      <c r="B8" s="121" t="s">
        <v>645</v>
      </c>
      <c r="C8" s="121" t="s">
        <v>16</v>
      </c>
      <c r="D8" s="158">
        <f>46.2366*(Logic!$D$131)</f>
        <v>47.623698000000005</v>
      </c>
      <c r="E8" s="157"/>
      <c r="F8" s="121" t="s">
        <v>637</v>
      </c>
      <c r="G8" s="158">
        <f>0*(Logic!$D$131)</f>
        <v>0</v>
      </c>
      <c r="H8" s="157"/>
      <c r="I8" s="129" t="s">
        <v>693</v>
      </c>
      <c r="J8" s="158">
        <f>3.7434*(Logic!$D$131)</f>
        <v>3.855702</v>
      </c>
      <c r="K8" s="157"/>
      <c r="L8" s="129" t="s">
        <v>747</v>
      </c>
      <c r="M8" s="158">
        <f>0*(Logic!$D$131)</f>
        <v>0</v>
      </c>
      <c r="N8" s="157"/>
      <c r="O8" s="121" t="s">
        <v>633</v>
      </c>
      <c r="P8" s="121">
        <v>106</v>
      </c>
      <c r="Q8" s="150">
        <v>0.26</v>
      </c>
      <c r="R8" s="157"/>
      <c r="S8" s="135" t="s">
        <v>966</v>
      </c>
      <c r="T8" s="158">
        <f>1.5096*(Logic!$D$131)</f>
        <v>1.554888</v>
      </c>
      <c r="U8" s="157"/>
      <c r="V8" s="121" t="s">
        <v>643</v>
      </c>
      <c r="W8" s="158">
        <f>0*(Logic!$D$131)</f>
        <v>0</v>
      </c>
      <c r="X8" s="157"/>
      <c r="Y8" s="121" t="s">
        <v>773</v>
      </c>
      <c r="Z8" s="158">
        <f>0*(Logic!$D$131)</f>
        <v>0</v>
      </c>
      <c r="AA8" s="157"/>
      <c r="AB8" s="136">
        <v>84401108</v>
      </c>
      <c r="AC8" s="127" t="s">
        <v>913</v>
      </c>
      <c r="AD8" s="158">
        <f>12.954*(Logic!$D$131)</f>
        <v>13.34262</v>
      </c>
      <c r="AF8" s="155">
        <v>89102745</v>
      </c>
      <c r="AG8" s="155" t="s">
        <v>1303</v>
      </c>
      <c r="AH8" s="158">
        <f>242.3928*(Logic!$D$131)</f>
        <v>249.66458399999999</v>
      </c>
      <c r="AN8" s="127">
        <v>95047499</v>
      </c>
      <c r="AO8" s="127" t="s">
        <v>1157</v>
      </c>
      <c r="AP8" s="158">
        <f>12.2604*(Logic!$D$131)</f>
        <v>12.628212000000001</v>
      </c>
    </row>
    <row r="9" spans="1:42">
      <c r="A9" s="121" t="s">
        <v>17</v>
      </c>
      <c r="B9" s="121" t="s">
        <v>642</v>
      </c>
      <c r="C9" s="121" t="s">
        <v>17</v>
      </c>
      <c r="D9" s="158">
        <f>46.2366*(Logic!$D$131)</f>
        <v>47.623698000000005</v>
      </c>
      <c r="E9" s="157"/>
      <c r="F9" s="121" t="s">
        <v>634</v>
      </c>
      <c r="G9" s="158">
        <f>3.264*(Logic!$D$131)</f>
        <v>3.36192</v>
      </c>
      <c r="H9" s="157"/>
      <c r="I9" s="134" t="s">
        <v>717</v>
      </c>
      <c r="J9" s="158">
        <f>11.5668*(Logic!$D$131)</f>
        <v>11.913804000000001</v>
      </c>
      <c r="K9" s="157"/>
      <c r="L9" s="134" t="s">
        <v>691</v>
      </c>
      <c r="M9" s="158">
        <f>4.0902*(Logic!$D$131)</f>
        <v>4.2129060000000003</v>
      </c>
      <c r="N9" s="157"/>
      <c r="O9" s="121" t="s">
        <v>629</v>
      </c>
      <c r="P9" s="121">
        <v>107</v>
      </c>
      <c r="Q9" s="150">
        <v>0.1</v>
      </c>
      <c r="R9" s="157"/>
      <c r="S9" s="183" t="s">
        <v>834</v>
      </c>
      <c r="T9" s="183"/>
      <c r="U9" s="157"/>
      <c r="V9" s="121" t="s">
        <v>640</v>
      </c>
      <c r="W9" s="158">
        <f>3.7434*(Logic!$D$131)</f>
        <v>3.855702</v>
      </c>
      <c r="X9" s="157"/>
      <c r="Y9" s="134" t="s">
        <v>882</v>
      </c>
      <c r="Z9" s="158">
        <f>-2.7948*(Logic!$D$131)</f>
        <v>-2.878644</v>
      </c>
      <c r="AA9" s="157"/>
      <c r="AB9" s="136">
        <v>84401109</v>
      </c>
      <c r="AC9" s="127" t="s">
        <v>914</v>
      </c>
      <c r="AD9" s="158">
        <f>14.2494*(Logic!$D$131)</f>
        <v>14.676882000000001</v>
      </c>
      <c r="AF9" s="155">
        <v>89102746</v>
      </c>
      <c r="AG9" s="155" t="s">
        <v>1304</v>
      </c>
      <c r="AH9" s="158">
        <f>242.3928*(Logic!$D$131)</f>
        <v>249.66458399999999</v>
      </c>
      <c r="AN9" s="127">
        <v>90543691</v>
      </c>
      <c r="AO9" s="127" t="s">
        <v>1158</v>
      </c>
      <c r="AP9" s="158">
        <f>0.357*(Logic!$D$131)</f>
        <v>0.36770999999999998</v>
      </c>
    </row>
    <row r="10" spans="1:42">
      <c r="A10" s="121" t="s">
        <v>638</v>
      </c>
      <c r="B10" s="121" t="s">
        <v>639</v>
      </c>
      <c r="C10" s="121" t="s">
        <v>638</v>
      </c>
      <c r="D10" s="158">
        <f>58.497*(Logic!$D$131)</f>
        <v>60.251910000000002</v>
      </c>
      <c r="E10" s="157"/>
      <c r="F10" s="121" t="s">
        <v>630</v>
      </c>
      <c r="G10" s="158">
        <f>1.5096*(Logic!$D$131)</f>
        <v>1.554888</v>
      </c>
      <c r="H10" s="157"/>
      <c r="I10" s="134" t="s">
        <v>694</v>
      </c>
      <c r="J10" s="158">
        <f>7.3542*(Logic!$D$131)</f>
        <v>7.5748259999999998</v>
      </c>
      <c r="K10" s="157"/>
      <c r="L10" s="134" t="s">
        <v>749</v>
      </c>
      <c r="M10" s="158">
        <f>0*(Logic!$D$131)</f>
        <v>0</v>
      </c>
      <c r="N10" s="157"/>
      <c r="O10" s="121" t="s">
        <v>625</v>
      </c>
      <c r="P10" s="121">
        <v>108</v>
      </c>
      <c r="Q10" s="150">
        <v>0</v>
      </c>
      <c r="R10" s="157"/>
      <c r="S10" s="125" t="s">
        <v>776</v>
      </c>
      <c r="T10" s="158">
        <f>9.9246*(Logic!$D$131)</f>
        <v>10.222338000000001</v>
      </c>
      <c r="U10" s="157"/>
      <c r="V10" s="121" t="s">
        <v>636</v>
      </c>
      <c r="W10" s="158">
        <f>6.6504*(Logic!$D$131)</f>
        <v>6.8499120000000007</v>
      </c>
      <c r="X10" s="157"/>
      <c r="Y10" s="121" t="s">
        <v>1130</v>
      </c>
      <c r="Z10" s="158">
        <f>16.5954*(Logic!$D$131)</f>
        <v>17.093262000000003</v>
      </c>
      <c r="AA10" s="157"/>
      <c r="AB10" s="136">
        <v>84401110</v>
      </c>
      <c r="AC10" s="127" t="s">
        <v>915</v>
      </c>
      <c r="AD10" s="158">
        <f>19.9716*(Logic!$D$131)</f>
        <v>20.570747999999998</v>
      </c>
      <c r="AF10" s="155">
        <v>89102747</v>
      </c>
      <c r="AG10" s="155" t="s">
        <v>1305</v>
      </c>
      <c r="AH10" s="158">
        <f>242.3928*(Logic!$D$131)</f>
        <v>249.66458399999999</v>
      </c>
      <c r="AN10" s="127">
        <v>95047031</v>
      </c>
      <c r="AO10" s="127" t="s">
        <v>1159</v>
      </c>
      <c r="AP10" s="158">
        <f>8.9862*(Logic!$D$131)</f>
        <v>9.2557860000000005</v>
      </c>
    </row>
    <row r="11" spans="1:42">
      <c r="A11" s="121" t="s">
        <v>14</v>
      </c>
      <c r="B11" s="121" t="s">
        <v>635</v>
      </c>
      <c r="C11" s="121" t="s">
        <v>14</v>
      </c>
      <c r="D11" s="158">
        <f>42.738*(Logic!$D$131)</f>
        <v>44.020139999999998</v>
      </c>
      <c r="E11" s="157"/>
      <c r="F11" s="121" t="s">
        <v>626</v>
      </c>
      <c r="G11" s="158">
        <f>0*(Logic!$D$131)</f>
        <v>0</v>
      </c>
      <c r="H11" s="157"/>
      <c r="I11" s="134" t="s">
        <v>718</v>
      </c>
      <c r="J11" s="158">
        <f>17.2788*(Logic!$D$131)</f>
        <v>17.797164000000002</v>
      </c>
      <c r="K11" s="157"/>
      <c r="L11" s="134" t="s">
        <v>750</v>
      </c>
      <c r="M11" s="158">
        <f>1.0506*(Logic!$D$131)</f>
        <v>1.0821179999999999</v>
      </c>
      <c r="N11" s="157"/>
      <c r="O11" s="121" t="s">
        <v>621</v>
      </c>
      <c r="P11" s="121">
        <v>109</v>
      </c>
      <c r="Q11" s="150">
        <v>-0.11</v>
      </c>
      <c r="R11" s="157"/>
      <c r="S11" s="125" t="s">
        <v>784</v>
      </c>
      <c r="T11" s="158">
        <f>2.448*(Logic!$D$131)</f>
        <v>2.5214400000000001</v>
      </c>
      <c r="U11" s="157"/>
      <c r="V11" s="121" t="s">
        <v>632</v>
      </c>
      <c r="W11" s="158">
        <f>0*(Logic!$D$131)</f>
        <v>0</v>
      </c>
      <c r="X11" s="157"/>
      <c r="Y11" s="121" t="s">
        <v>1132</v>
      </c>
      <c r="Z11" s="158">
        <f>27.9174*(Logic!$D$131)</f>
        <v>28.754922000000001</v>
      </c>
      <c r="AA11" s="157"/>
      <c r="AB11" s="136">
        <v>84401111</v>
      </c>
      <c r="AC11" s="127" t="s">
        <v>916</v>
      </c>
      <c r="AD11" s="158">
        <f>26.6118*(Logic!$D$131)</f>
        <v>27.410153999999999</v>
      </c>
      <c r="AF11" s="155">
        <v>89102748</v>
      </c>
      <c r="AG11" s="155" t="s">
        <v>1306</v>
      </c>
      <c r="AH11" s="158">
        <f>285.8754*(Logic!$D$131)</f>
        <v>294.451662</v>
      </c>
      <c r="AN11" s="127">
        <v>31040101</v>
      </c>
      <c r="AO11" s="127" t="s">
        <v>1160</v>
      </c>
      <c r="AP11" s="158">
        <f>0.459*(Logic!$D$131)</f>
        <v>0.47277000000000002</v>
      </c>
    </row>
    <row r="12" spans="1:42">
      <c r="A12" s="121" t="s">
        <v>43</v>
      </c>
      <c r="B12" s="121" t="s">
        <v>631</v>
      </c>
      <c r="C12" s="121" t="s">
        <v>43</v>
      </c>
      <c r="D12" s="158">
        <f>53.703*(Logic!$D$131)</f>
        <v>55.314090000000007</v>
      </c>
      <c r="E12" s="157"/>
      <c r="F12" s="121" t="s">
        <v>622</v>
      </c>
      <c r="G12" s="158">
        <f>0*(Logic!$D$131)</f>
        <v>0</v>
      </c>
      <c r="H12" s="157"/>
      <c r="I12" s="134" t="s">
        <v>704</v>
      </c>
      <c r="J12" s="158">
        <f>11.0976*(Logic!$D$131)</f>
        <v>11.430528000000001</v>
      </c>
      <c r="K12" s="157"/>
      <c r="L12" s="134" t="s">
        <v>751</v>
      </c>
      <c r="M12" s="158">
        <f>1.0506*(Logic!$D$131)</f>
        <v>1.0821179999999999</v>
      </c>
      <c r="N12" s="157"/>
      <c r="O12" s="121" t="s">
        <v>616</v>
      </c>
      <c r="P12" s="121">
        <v>110</v>
      </c>
      <c r="Q12" s="150">
        <v>-0.54</v>
      </c>
      <c r="R12" s="157"/>
      <c r="S12" s="135" t="s">
        <v>785</v>
      </c>
      <c r="T12" s="158">
        <f>4.7838*(Logic!$D$131)</f>
        <v>4.927314</v>
      </c>
      <c r="U12" s="157"/>
      <c r="V12" s="121" t="s">
        <v>628</v>
      </c>
      <c r="W12" s="158">
        <f>4.6716*(Logic!$D$131)</f>
        <v>4.8117479999999997</v>
      </c>
      <c r="X12" s="157"/>
      <c r="Y12" s="121" t="s">
        <v>1131</v>
      </c>
      <c r="Z12" s="158">
        <f>3.3048*(Logic!$D$131)</f>
        <v>3.4039440000000001</v>
      </c>
      <c r="AA12" s="157"/>
      <c r="AB12" s="136">
        <v>84401112</v>
      </c>
      <c r="AC12" s="127" t="s">
        <v>917</v>
      </c>
      <c r="AD12" s="158">
        <f>20.4306*(Logic!$D$131)</f>
        <v>21.043517999999999</v>
      </c>
      <c r="AF12" s="155">
        <v>89102749</v>
      </c>
      <c r="AG12" s="155" t="s">
        <v>1307</v>
      </c>
      <c r="AH12" s="158">
        <f>285.8754*(Logic!$D$131)</f>
        <v>294.451662</v>
      </c>
      <c r="AN12" s="127">
        <v>91708755</v>
      </c>
      <c r="AO12" s="127" t="s">
        <v>1161</v>
      </c>
      <c r="AP12" s="158">
        <f>241.5666*(Logic!$D$131)</f>
        <v>248.81359800000001</v>
      </c>
    </row>
    <row r="13" spans="1:42">
      <c r="A13" s="121" t="s">
        <v>44</v>
      </c>
      <c r="B13" s="121" t="s">
        <v>627</v>
      </c>
      <c r="C13" s="121" t="s">
        <v>44</v>
      </c>
      <c r="D13" s="158">
        <f>86.9856*(Logic!$D$131)</f>
        <v>89.595168000000001</v>
      </c>
      <c r="F13" s="121" t="s">
        <v>617</v>
      </c>
      <c r="G13" s="158">
        <f>1.5096*(Logic!$D$131)</f>
        <v>1.554888</v>
      </c>
      <c r="I13" s="134" t="s">
        <v>719</v>
      </c>
      <c r="J13" s="158">
        <f>22.8888*(Logic!$D$131)</f>
        <v>23.575464</v>
      </c>
      <c r="L13" s="134" t="s">
        <v>752</v>
      </c>
      <c r="M13" s="158">
        <f>1.0506*(Logic!$D$131)</f>
        <v>1.0821179999999999</v>
      </c>
      <c r="O13" s="121" t="s">
        <v>611</v>
      </c>
      <c r="P13" s="121">
        <v>111</v>
      </c>
      <c r="Q13" s="150">
        <v>-0.67</v>
      </c>
      <c r="S13" s="135" t="s">
        <v>1024</v>
      </c>
      <c r="T13" s="158">
        <f>17.4012*(Logic!$D$131)</f>
        <v>17.923235999999999</v>
      </c>
      <c r="V13" s="121" t="s">
        <v>624</v>
      </c>
      <c r="W13" s="158">
        <f>8.4048*(Logic!$D$131)</f>
        <v>8.6569439999999993</v>
      </c>
      <c r="AB13" s="136">
        <v>84401113</v>
      </c>
      <c r="AC13" s="127" t="s">
        <v>918</v>
      </c>
      <c r="AD13" s="158">
        <f>26.01*(Logic!$D$131)</f>
        <v>26.790300000000002</v>
      </c>
      <c r="AF13" s="155">
        <v>89102784</v>
      </c>
      <c r="AG13" s="155" t="s">
        <v>1308</v>
      </c>
      <c r="AH13" s="158">
        <f>248.7984*(Logic!$D$131)</f>
        <v>256.26235200000002</v>
      </c>
      <c r="AN13" s="127">
        <v>90543303</v>
      </c>
      <c r="AO13" s="127" t="s">
        <v>1162</v>
      </c>
      <c r="AP13" s="158">
        <f>111.3942*(Logic!$D$131)</f>
        <v>114.736026</v>
      </c>
    </row>
    <row r="14" spans="1:42">
      <c r="A14" s="121" t="s">
        <v>118</v>
      </c>
      <c r="B14" s="121" t="s">
        <v>623</v>
      </c>
      <c r="C14" s="121" t="s">
        <v>118</v>
      </c>
      <c r="D14" s="158">
        <f>131.7024*(Logic!$D$131)</f>
        <v>135.65347200000002</v>
      </c>
      <c r="F14" s="121" t="s">
        <v>612</v>
      </c>
      <c r="G14" s="158">
        <f>2.5806*(Logic!$D$131)</f>
        <v>2.6580180000000002</v>
      </c>
      <c r="I14" s="134" t="s">
        <v>705</v>
      </c>
      <c r="J14" s="158">
        <f>14.8308*(Logic!$D$131)</f>
        <v>15.275724</v>
      </c>
      <c r="L14" s="134" t="s">
        <v>753</v>
      </c>
      <c r="M14" s="158">
        <f>0*(Logic!$D$131)</f>
        <v>0</v>
      </c>
      <c r="O14" s="134" t="s">
        <v>606</v>
      </c>
      <c r="P14" s="134">
        <v>112</v>
      </c>
      <c r="Q14" s="139">
        <v>0</v>
      </c>
      <c r="S14" s="135"/>
      <c r="T14" s="130"/>
      <c r="V14" s="121" t="s">
        <v>620</v>
      </c>
      <c r="W14" s="158">
        <f>0*(Logic!$D$131)</f>
        <v>0</v>
      </c>
      <c r="AB14" s="136">
        <v>84401114</v>
      </c>
      <c r="AC14" s="127" t="s">
        <v>951</v>
      </c>
      <c r="AD14" s="158">
        <f>32.8134*(Logic!$D$131)</f>
        <v>33.797802000000004</v>
      </c>
      <c r="AF14" s="155">
        <v>89102785</v>
      </c>
      <c r="AG14" s="155" t="s">
        <v>1309</v>
      </c>
      <c r="AH14" s="158">
        <f>248.7984*(Logic!$D$131)</f>
        <v>256.26235200000002</v>
      </c>
      <c r="AN14" s="127">
        <v>91535156</v>
      </c>
      <c r="AO14" s="127" t="s">
        <v>1163</v>
      </c>
      <c r="AP14" s="158">
        <f>11.5668*(Logic!$D$131)</f>
        <v>11.913804000000001</v>
      </c>
    </row>
    <row r="15" spans="1:42">
      <c r="A15" s="121" t="s">
        <v>618</v>
      </c>
      <c r="B15" s="121" t="s">
        <v>619</v>
      </c>
      <c r="C15" s="121" t="s">
        <v>618</v>
      </c>
      <c r="D15" s="158">
        <f>53.244*(Logic!$D$131)</f>
        <v>54.841320000000003</v>
      </c>
      <c r="F15" s="121" t="s">
        <v>607</v>
      </c>
      <c r="G15" s="158">
        <f>4.3146*(Logic!$D$131)</f>
        <v>4.4440380000000008</v>
      </c>
      <c r="I15" s="134" t="s">
        <v>720</v>
      </c>
      <c r="J15" s="158">
        <f>28.611*(Logic!$D$131)</f>
        <v>29.469330000000003</v>
      </c>
      <c r="L15" s="134" t="s">
        <v>754</v>
      </c>
      <c r="M15" s="158">
        <f>0*(Logic!$D$131)</f>
        <v>0</v>
      </c>
      <c r="O15" s="121" t="s">
        <v>788</v>
      </c>
      <c r="P15" s="121">
        <v>113</v>
      </c>
      <c r="Q15" s="150">
        <v>0.1</v>
      </c>
      <c r="S15" s="162" t="s">
        <v>835</v>
      </c>
      <c r="T15" s="162"/>
      <c r="V15" s="121" t="s">
        <v>615</v>
      </c>
      <c r="W15" s="158">
        <f>2.9274*(Logic!$D$131)</f>
        <v>3.0152220000000001</v>
      </c>
      <c r="AB15" s="136">
        <v>84401115</v>
      </c>
      <c r="AC15" s="127" t="s">
        <v>919</v>
      </c>
      <c r="AD15" s="158">
        <f>32.8134*(Logic!$D$131)</f>
        <v>33.797802000000004</v>
      </c>
      <c r="AF15" s="155">
        <v>89102894</v>
      </c>
      <c r="AG15" s="155" t="s">
        <v>1310</v>
      </c>
      <c r="AH15" s="158">
        <f>274.278*(Logic!$D$131)</f>
        <v>282.50634000000002</v>
      </c>
      <c r="AN15" s="127">
        <v>91535707</v>
      </c>
      <c r="AO15" s="127" t="s">
        <v>1164</v>
      </c>
      <c r="AP15" s="158">
        <f>13.3008*(Logic!$D$131)</f>
        <v>13.699824000000001</v>
      </c>
    </row>
    <row r="16" spans="1:42">
      <c r="A16" s="121" t="s">
        <v>613</v>
      </c>
      <c r="B16" s="121" t="s">
        <v>614</v>
      </c>
      <c r="C16" s="121" t="s">
        <v>613</v>
      </c>
      <c r="D16" s="158">
        <f>53.346*(Logic!$D$131)</f>
        <v>54.946379999999998</v>
      </c>
      <c r="F16" s="121" t="s">
        <v>603</v>
      </c>
      <c r="G16" s="158">
        <f>0*(Logic!$D$131)</f>
        <v>0</v>
      </c>
      <c r="I16" s="134" t="s">
        <v>706</v>
      </c>
      <c r="J16" s="158">
        <f>18.564*(Logic!$D$131)</f>
        <v>19.120920000000002</v>
      </c>
      <c r="L16" s="134"/>
      <c r="M16" s="158">
        <f>0*(Logic!$D$131)</f>
        <v>0</v>
      </c>
      <c r="O16" s="121" t="s">
        <v>1080</v>
      </c>
      <c r="P16" s="134">
        <v>121</v>
      </c>
      <c r="Q16" s="150">
        <v>-9.1999999999999998E-2</v>
      </c>
      <c r="S16" s="121" t="s">
        <v>843</v>
      </c>
      <c r="T16" s="158">
        <f>10.0572*(Logic!$D$131)</f>
        <v>10.358916000000001</v>
      </c>
      <c r="V16" s="121" t="s">
        <v>610</v>
      </c>
      <c r="W16" s="158">
        <f>5.2632*(Logic!$D$131)</f>
        <v>5.4210960000000004</v>
      </c>
      <c r="AB16" s="136">
        <v>84401116</v>
      </c>
      <c r="AC16" s="127" t="s">
        <v>952</v>
      </c>
      <c r="AD16" s="158">
        <f>39.0048*(Logic!$D$131)</f>
        <v>40.174944000000004</v>
      </c>
      <c r="AF16" s="155">
        <v>89102895</v>
      </c>
      <c r="AG16" s="155" t="s">
        <v>1311</v>
      </c>
      <c r="AH16" s="158">
        <f>274.278*(Logic!$D$131)</f>
        <v>282.50634000000002</v>
      </c>
      <c r="AN16" s="127">
        <v>90216190</v>
      </c>
      <c r="AO16" s="127" t="s">
        <v>1165</v>
      </c>
      <c r="AP16" s="158">
        <f>84.6498*(Logic!$D$131)</f>
        <v>87.189294000000004</v>
      </c>
    </row>
    <row r="17" spans="1:42">
      <c r="A17" s="121" t="s">
        <v>608</v>
      </c>
      <c r="B17" s="121" t="s">
        <v>609</v>
      </c>
      <c r="C17" s="121" t="s">
        <v>608</v>
      </c>
      <c r="D17" s="158">
        <f>53.346*(Logic!$D$131)</f>
        <v>54.946379999999998</v>
      </c>
      <c r="F17" s="121" t="s">
        <v>600</v>
      </c>
      <c r="G17" s="158">
        <f>0*(Logic!$D$131)</f>
        <v>0</v>
      </c>
      <c r="I17" s="134" t="s">
        <v>721</v>
      </c>
      <c r="J17" s="158">
        <f>34.3332*(Logic!$D$131)</f>
        <v>35.363196000000002</v>
      </c>
      <c r="L17" s="134" t="s">
        <v>755</v>
      </c>
      <c r="M17" s="158">
        <f>13.9536*(Logic!$D$131)</f>
        <v>14.372208000000001</v>
      </c>
      <c r="O17" s="121" t="s">
        <v>1081</v>
      </c>
      <c r="P17" s="134">
        <v>122</v>
      </c>
      <c r="Q17" s="150">
        <v>0.12300000000000001</v>
      </c>
      <c r="S17" s="121" t="s">
        <v>690</v>
      </c>
      <c r="T17" s="158">
        <f>5.1408*(Logic!$D$131)</f>
        <v>5.2950239999999997</v>
      </c>
      <c r="V17" s="121" t="s">
        <v>39</v>
      </c>
      <c r="W17" s="158">
        <f>0*(Logic!$D$131)</f>
        <v>0</v>
      </c>
      <c r="Z17" s="124"/>
      <c r="AB17" s="136">
        <v>84401117</v>
      </c>
      <c r="AC17" s="127" t="s">
        <v>953</v>
      </c>
      <c r="AD17" s="158">
        <f>45.1962*(Logic!$D$131)</f>
        <v>46.552085999999996</v>
      </c>
      <c r="AF17" s="155">
        <v>89102998</v>
      </c>
      <c r="AG17" s="155" t="s">
        <v>1312</v>
      </c>
      <c r="AH17" s="158">
        <f>238.2924*(Logic!$D$131)</f>
        <v>245.44117199999999</v>
      </c>
      <c r="AN17" s="127">
        <v>51019123</v>
      </c>
      <c r="AO17" s="127" t="s">
        <v>1166</v>
      </c>
      <c r="AP17" s="158">
        <f>9.3432*(Logic!$D$131)</f>
        <v>9.6234959999999994</v>
      </c>
    </row>
    <row r="18" spans="1:42">
      <c r="A18" s="121" t="s">
        <v>604</v>
      </c>
      <c r="B18" s="121" t="s">
        <v>605</v>
      </c>
      <c r="C18" s="121" t="s">
        <v>604</v>
      </c>
      <c r="D18" s="158">
        <f>26.1426*(Logic!$D$131)</f>
        <v>26.926878000000002</v>
      </c>
      <c r="F18" s="121" t="s">
        <v>597</v>
      </c>
      <c r="G18" s="158">
        <f>0*(Logic!$D$131)</f>
        <v>0</v>
      </c>
      <c r="I18" s="134" t="s">
        <v>707</v>
      </c>
      <c r="J18" s="158">
        <f>22.185*(Logic!$D$131)</f>
        <v>22.850549999999998</v>
      </c>
      <c r="L18" s="134" t="s">
        <v>756</v>
      </c>
      <c r="M18" s="158">
        <f>-11.7912*(Logic!$D$131)</f>
        <v>-12.144936</v>
      </c>
      <c r="O18" s="121" t="s">
        <v>1319</v>
      </c>
      <c r="P18" s="134">
        <v>123</v>
      </c>
      <c r="Q18" s="150">
        <v>0</v>
      </c>
      <c r="S18" s="125" t="s">
        <v>861</v>
      </c>
      <c r="T18" s="158">
        <f>15.5244*(Logic!$D$131)</f>
        <v>15.990132000000001</v>
      </c>
      <c r="V18" s="123" t="s">
        <v>40</v>
      </c>
      <c r="W18" s="158">
        <f>1.8666*(Logic!$D$131)</f>
        <v>1.922598</v>
      </c>
      <c r="Z18" s="124"/>
      <c r="AB18" s="136">
        <v>84401121</v>
      </c>
      <c r="AC18" s="127" t="s">
        <v>923</v>
      </c>
      <c r="AD18" s="158">
        <f>12.2808*(Logic!$D$131)</f>
        <v>12.649224</v>
      </c>
      <c r="AF18" s="155">
        <v>89102999</v>
      </c>
      <c r="AG18" s="155" t="s">
        <v>1313</v>
      </c>
      <c r="AH18" s="158">
        <f>238.2924*(Logic!$D$131)</f>
        <v>245.44117199999999</v>
      </c>
      <c r="AN18" s="127">
        <v>91535074</v>
      </c>
      <c r="AO18" s="127" t="s">
        <v>1167</v>
      </c>
      <c r="AP18" s="158">
        <f>5.2632*(Logic!$D$131)</f>
        <v>5.4210960000000004</v>
      </c>
    </row>
    <row r="19" spans="1:42">
      <c r="A19" s="121" t="s">
        <v>601</v>
      </c>
      <c r="B19" s="121" t="s">
        <v>602</v>
      </c>
      <c r="C19" s="121" t="s">
        <v>601</v>
      </c>
      <c r="D19" s="158">
        <f>50.7858*(Logic!$D$131)</f>
        <v>52.309374000000005</v>
      </c>
      <c r="F19" s="121" t="s">
        <v>594</v>
      </c>
      <c r="G19" s="158">
        <f>0*(Logic!$D$131)</f>
        <v>0</v>
      </c>
      <c r="I19" s="134" t="s">
        <v>722</v>
      </c>
      <c r="J19" s="158">
        <f>39.9432*(Logic!$D$131)</f>
        <v>41.141495999999997</v>
      </c>
      <c r="L19" s="134" t="s">
        <v>757</v>
      </c>
      <c r="M19" s="158">
        <f>27.9072*(Logic!$D$131)</f>
        <v>28.744416000000001</v>
      </c>
      <c r="O19" s="121" t="s">
        <v>1102</v>
      </c>
      <c r="P19" s="134">
        <v>126</v>
      </c>
      <c r="Q19" s="150">
        <v>-0.1583</v>
      </c>
      <c r="S19" s="121" t="s">
        <v>672</v>
      </c>
      <c r="T19" s="158">
        <f>21.0222*(Logic!$D$131)</f>
        <v>21.652866000000003</v>
      </c>
      <c r="V19" s="121" t="s">
        <v>41</v>
      </c>
      <c r="W19" s="158">
        <f>3.3864*(Logic!$D$131)</f>
        <v>3.4879920000000002</v>
      </c>
      <c r="Z19" s="124"/>
      <c r="AB19" s="136">
        <v>84401122</v>
      </c>
      <c r="AC19" s="127" t="s">
        <v>924</v>
      </c>
      <c r="AD19" s="158">
        <f>12.3828*(Logic!$D$131)</f>
        <v>12.754284</v>
      </c>
      <c r="AF19" s="155">
        <v>89103189</v>
      </c>
      <c r="AG19" s="155" t="s">
        <v>1314</v>
      </c>
      <c r="AH19" s="158">
        <f>186.456*(Logic!$D$131)</f>
        <v>192.04968</v>
      </c>
      <c r="AN19" s="127">
        <v>51019129</v>
      </c>
      <c r="AO19" s="127" t="s">
        <v>1168</v>
      </c>
      <c r="AP19" s="158">
        <f>21.114*(Logic!$D$131)</f>
        <v>21.747420000000002</v>
      </c>
    </row>
    <row r="20" spans="1:42">
      <c r="A20" s="121" t="s">
        <v>598</v>
      </c>
      <c r="B20" s="121" t="s">
        <v>599</v>
      </c>
      <c r="C20" s="121" t="s">
        <v>598</v>
      </c>
      <c r="D20" s="158">
        <f>46.2366*(Logic!$D$131)</f>
        <v>47.623698000000005</v>
      </c>
      <c r="F20" s="121" t="s">
        <v>674</v>
      </c>
      <c r="G20" s="158">
        <f>0*(Logic!$D$131)</f>
        <v>0</v>
      </c>
      <c r="I20" s="134" t="s">
        <v>696</v>
      </c>
      <c r="J20" s="158">
        <f>25.9386*(Logic!$D$131)</f>
        <v>26.716758000000002</v>
      </c>
      <c r="L20" s="134" t="s">
        <v>758</v>
      </c>
      <c r="M20" s="158">
        <f>0*(Logic!$D$131)</f>
        <v>0</v>
      </c>
      <c r="O20" s="121" t="s">
        <v>1103</v>
      </c>
      <c r="P20" s="134">
        <v>127</v>
      </c>
      <c r="Q20" s="150">
        <v>-0.10880000000000001</v>
      </c>
      <c r="S20" s="121" t="s">
        <v>842</v>
      </c>
      <c r="T20" s="158">
        <f>14.8308*(Logic!$D$131)</f>
        <v>15.275724</v>
      </c>
      <c r="V20" s="121" t="s">
        <v>559</v>
      </c>
      <c r="W20" s="158">
        <f>-12.7296*(Logic!$D$131)</f>
        <v>-13.111488</v>
      </c>
      <c r="Z20" s="124"/>
      <c r="AB20" s="136">
        <v>84401123</v>
      </c>
      <c r="AC20" s="127" t="s">
        <v>925</v>
      </c>
      <c r="AD20" s="158">
        <f>18.564*(Logic!$D$131)</f>
        <v>19.120920000000002</v>
      </c>
      <c r="AF20" s="155">
        <v>89103190</v>
      </c>
      <c r="AG20" s="155" t="s">
        <v>1315</v>
      </c>
      <c r="AH20" s="158">
        <f>186.456*(Logic!$D$131)</f>
        <v>192.04968</v>
      </c>
      <c r="AN20" s="127">
        <v>91500002</v>
      </c>
      <c r="AO20" s="127" t="s">
        <v>1169</v>
      </c>
      <c r="AP20" s="158">
        <f>10.0572*(Logic!$D$131)</f>
        <v>10.358916000000001</v>
      </c>
    </row>
    <row r="21" spans="1:42">
      <c r="A21" s="121" t="s">
        <v>595</v>
      </c>
      <c r="B21" s="121" t="s">
        <v>596</v>
      </c>
      <c r="C21" s="121" t="s">
        <v>595</v>
      </c>
      <c r="D21" s="158">
        <f>62.118*(Logic!$D$131)</f>
        <v>63.981540000000003</v>
      </c>
      <c r="F21" s="121" t="s">
        <v>589</v>
      </c>
      <c r="G21" s="158">
        <f>0*(Logic!$D$131)</f>
        <v>0</v>
      </c>
      <c r="I21" s="134" t="s">
        <v>709</v>
      </c>
      <c r="J21" s="158">
        <f>45.6552*(Logic!$D$131)</f>
        <v>47.024856</v>
      </c>
      <c r="L21" s="134" t="s">
        <v>759</v>
      </c>
      <c r="M21" s="158">
        <f>0*(Logic!$D$131)</f>
        <v>0</v>
      </c>
      <c r="O21" s="121" t="s">
        <v>1340</v>
      </c>
      <c r="P21" s="134">
        <v>128</v>
      </c>
      <c r="Q21" s="150">
        <v>-0.17</v>
      </c>
      <c r="S21" s="134" t="s">
        <v>673</v>
      </c>
      <c r="T21" s="158">
        <f>14.8308*(Logic!$D$131)</f>
        <v>15.275724</v>
      </c>
      <c r="V21" s="121" t="s">
        <v>555</v>
      </c>
      <c r="W21" s="158">
        <f>-13.4436*(Logic!$D$131)</f>
        <v>-13.846908000000001</v>
      </c>
      <c r="Z21" s="124"/>
      <c r="AB21" s="136">
        <v>84401124</v>
      </c>
      <c r="AC21" s="127" t="s">
        <v>926</v>
      </c>
      <c r="AD21" s="158">
        <f>24.7554*(Logic!$D$131)</f>
        <v>25.498062000000001</v>
      </c>
      <c r="AN21" s="127">
        <v>91707415</v>
      </c>
      <c r="AO21" s="127" t="s">
        <v>1170</v>
      </c>
      <c r="AP21" s="158">
        <f>33.1602*(Logic!$D$131)</f>
        <v>34.155006000000007</v>
      </c>
    </row>
    <row r="22" spans="1:42">
      <c r="A22" s="121" t="s">
        <v>592</v>
      </c>
      <c r="B22" s="121" t="s">
        <v>593</v>
      </c>
      <c r="C22" s="121" t="s">
        <v>592</v>
      </c>
      <c r="D22" s="158">
        <f>86.7612*(Logic!$D$131)</f>
        <v>89.364035999999999</v>
      </c>
      <c r="F22" s="121" t="s">
        <v>586</v>
      </c>
      <c r="G22" s="158">
        <f>0*(Logic!$D$131)</f>
        <v>0</v>
      </c>
      <c r="I22" s="134" t="s">
        <v>697</v>
      </c>
      <c r="J22" s="158">
        <f>29.6514*(Logic!$D$131)</f>
        <v>30.540942000000001</v>
      </c>
      <c r="L22" s="134" t="s">
        <v>760</v>
      </c>
      <c r="M22" s="158">
        <f>5.1408*(Logic!$D$131)</f>
        <v>5.2950239999999997</v>
      </c>
      <c r="O22" s="121" t="s">
        <v>1345</v>
      </c>
      <c r="P22" s="134">
        <v>131</v>
      </c>
      <c r="Q22" s="150">
        <v>0.33600000000000002</v>
      </c>
      <c r="S22" s="134" t="s">
        <v>1098</v>
      </c>
      <c r="T22" s="158">
        <f>2.0604*(Logic!$D$131)</f>
        <v>2.1222120000000002</v>
      </c>
      <c r="V22" s="121" t="s">
        <v>550</v>
      </c>
      <c r="W22" s="158">
        <f>-11.4342*(Logic!$D$131)</f>
        <v>-11.777226000000001</v>
      </c>
      <c r="Z22" s="124"/>
      <c r="AB22" s="136">
        <v>84401125</v>
      </c>
      <c r="AC22" s="141" t="s">
        <v>927</v>
      </c>
      <c r="AD22" s="158">
        <f>30.9366*(Logic!$D$131)</f>
        <v>31.864698000000001</v>
      </c>
      <c r="AN22" s="127">
        <v>90216148</v>
      </c>
      <c r="AO22" s="127" t="s">
        <v>1171</v>
      </c>
      <c r="AP22" s="158">
        <f>71.5734*(Logic!$D$131)</f>
        <v>73.720602000000014</v>
      </c>
    </row>
    <row r="23" spans="1:42">
      <c r="A23" s="121" t="s">
        <v>590</v>
      </c>
      <c r="B23" s="121" t="s">
        <v>591</v>
      </c>
      <c r="C23" s="121" t="s">
        <v>590</v>
      </c>
      <c r="D23" s="158">
        <f>58.0278*(Logic!$D$131)</f>
        <v>59.768633999999999</v>
      </c>
      <c r="F23" s="121" t="s">
        <v>582</v>
      </c>
      <c r="G23" s="158">
        <f>0*(Logic!$D$131)</f>
        <v>0</v>
      </c>
      <c r="I23" s="134" t="s">
        <v>710</v>
      </c>
      <c r="J23" s="158">
        <f>51.2652*(Logic!$D$131)</f>
        <v>52.803156000000001</v>
      </c>
      <c r="L23" s="134" t="s">
        <v>761</v>
      </c>
      <c r="M23" s="158">
        <f>5.1408*(Logic!$D$131)</f>
        <v>5.2950239999999997</v>
      </c>
      <c r="O23" s="121" t="s">
        <v>1346</v>
      </c>
      <c r="P23" s="134">
        <v>132</v>
      </c>
      <c r="Q23" s="150">
        <v>-5.6599999999999998E-2</v>
      </c>
      <c r="S23" s="134" t="s">
        <v>1099</v>
      </c>
      <c r="T23" s="158">
        <f>0.6834*(Logic!$D$131)</f>
        <v>0.70390200000000003</v>
      </c>
      <c r="V23" s="121" t="s">
        <v>42</v>
      </c>
      <c r="W23" s="158">
        <f>-9.4452*(Logic!$D$131)</f>
        <v>-9.7285559999999993</v>
      </c>
      <c r="Z23" s="124"/>
      <c r="AB23" s="136"/>
      <c r="AC23" s="126" t="s">
        <v>922</v>
      </c>
      <c r="AD23" s="149"/>
      <c r="AN23" s="127">
        <v>91535104</v>
      </c>
      <c r="AO23" s="127" t="s">
        <v>1172</v>
      </c>
      <c r="AP23" s="158">
        <f>11.4342*(Logic!$D$131)</f>
        <v>11.777226000000001</v>
      </c>
    </row>
    <row r="24" spans="1:42">
      <c r="A24" s="121" t="s">
        <v>587</v>
      </c>
      <c r="B24" s="121" t="s">
        <v>588</v>
      </c>
      <c r="C24" s="121" t="s">
        <v>587</v>
      </c>
      <c r="D24" s="158">
        <f>54.417*(Logic!$D$131)</f>
        <v>56.049510000000005</v>
      </c>
      <c r="F24" s="121" t="s">
        <v>578</v>
      </c>
      <c r="G24" s="158">
        <f>0*(Logic!$D$131)</f>
        <v>0</v>
      </c>
      <c r="I24" s="134" t="s">
        <v>698</v>
      </c>
      <c r="J24" s="158">
        <f>33.3948*(Logic!$D$131)</f>
        <v>34.396643999999995</v>
      </c>
      <c r="L24" s="134" t="s">
        <v>762</v>
      </c>
      <c r="M24" s="158">
        <f>8.6496*(Logic!$D$131)</f>
        <v>8.9090880000000006</v>
      </c>
      <c r="O24" s="121" t="s">
        <v>1336</v>
      </c>
      <c r="P24" s="134">
        <v>133</v>
      </c>
      <c r="Q24" s="150">
        <v>0.2</v>
      </c>
      <c r="S24" s="134" t="s">
        <v>1133</v>
      </c>
      <c r="T24" s="158">
        <f>2.7438*(Logic!$D$131)</f>
        <v>2.826114</v>
      </c>
      <c r="V24" s="123" t="s">
        <v>770</v>
      </c>
      <c r="W24" s="158">
        <f>-10.1592*(Logic!$D$131)</f>
        <v>-10.463976000000001</v>
      </c>
      <c r="Z24" s="124"/>
      <c r="AB24" s="136">
        <v>84400130</v>
      </c>
      <c r="AC24" s="133">
        <v>5</v>
      </c>
      <c r="AD24" s="158">
        <f>4.9164*(Logic!$D$131)</f>
        <v>5.0638920000000001</v>
      </c>
      <c r="AE24" s="128"/>
      <c r="AN24" s="127">
        <v>90543041</v>
      </c>
      <c r="AO24" s="127" t="s">
        <v>1173</v>
      </c>
      <c r="AP24" s="158">
        <f>24.0618*(Logic!$D$131)</f>
        <v>24.783654000000002</v>
      </c>
    </row>
    <row r="25" spans="1:42">
      <c r="A25" s="121" t="s">
        <v>583</v>
      </c>
      <c r="B25" s="121" t="s">
        <v>584</v>
      </c>
      <c r="C25" s="121" t="s">
        <v>583</v>
      </c>
      <c r="D25" s="158">
        <f>42.738*(Logic!$D$131)</f>
        <v>44.020139999999998</v>
      </c>
      <c r="F25" s="121" t="s">
        <v>675</v>
      </c>
      <c r="G25" s="158">
        <f>5.2632*(Logic!$D$131)</f>
        <v>5.4210960000000004</v>
      </c>
      <c r="I25" s="134" t="s">
        <v>711</v>
      </c>
      <c r="J25" s="158">
        <f>56.967*(Logic!$D$131)</f>
        <v>58.676009999999998</v>
      </c>
      <c r="L25" s="134" t="s">
        <v>763</v>
      </c>
      <c r="M25" s="158">
        <f>1.8666*(Logic!$D$131)</f>
        <v>1.922598</v>
      </c>
      <c r="O25" s="121" t="s">
        <v>1335</v>
      </c>
      <c r="P25" s="134">
        <v>134</v>
      </c>
      <c r="Q25" s="150">
        <v>0.05</v>
      </c>
      <c r="S25" s="183" t="s">
        <v>836</v>
      </c>
      <c r="T25" s="183"/>
      <c r="V25" s="129" t="s">
        <v>771</v>
      </c>
      <c r="W25" s="158">
        <f>-19.2678*(Logic!$D$131)</f>
        <v>-19.845834</v>
      </c>
      <c r="Z25" s="124"/>
      <c r="AB25" s="136">
        <v>84400131</v>
      </c>
      <c r="AC25" s="133">
        <v>10</v>
      </c>
      <c r="AD25" s="158">
        <f>4.9164*(Logic!$D$131)</f>
        <v>5.0638920000000001</v>
      </c>
      <c r="AE25" s="128"/>
      <c r="AF25" s="127"/>
      <c r="AG25" s="127"/>
      <c r="AH25" s="122"/>
      <c r="AN25" s="127">
        <v>91535062</v>
      </c>
      <c r="AO25" s="127" t="s">
        <v>1174</v>
      </c>
      <c r="AP25" s="158">
        <f>21.6036*(Logic!$D$131)</f>
        <v>22.251708000000001</v>
      </c>
    </row>
    <row r="26" spans="1:42">
      <c r="A26" s="121" t="s">
        <v>579</v>
      </c>
      <c r="B26" s="121" t="s">
        <v>580</v>
      </c>
      <c r="C26" s="121" t="s">
        <v>579</v>
      </c>
      <c r="D26" s="158">
        <f>75.6534*(Logic!$D$131)</f>
        <v>77.923002000000011</v>
      </c>
      <c r="F26" s="121" t="s">
        <v>573</v>
      </c>
      <c r="G26" s="158">
        <f>5.2632*(Logic!$D$131)</f>
        <v>5.4210960000000004</v>
      </c>
      <c r="I26" s="134" t="s">
        <v>699</v>
      </c>
      <c r="J26" s="158">
        <f>37.0056*(Logic!$D$131)</f>
        <v>38.115768000000003</v>
      </c>
      <c r="L26" s="134" t="s">
        <v>764</v>
      </c>
      <c r="M26" s="158">
        <f>4.9164*(Logic!$D$131)</f>
        <v>5.0638920000000001</v>
      </c>
      <c r="O26" s="121" t="s">
        <v>1347</v>
      </c>
      <c r="P26" s="134">
        <v>135</v>
      </c>
      <c r="Q26" s="150">
        <v>0.16600000000000001</v>
      </c>
      <c r="S26" s="125" t="s">
        <v>856</v>
      </c>
      <c r="T26" s="158">
        <f>3.3864*(Logic!$D$131)</f>
        <v>3.4879920000000002</v>
      </c>
      <c r="V26" s="129" t="s">
        <v>1101</v>
      </c>
      <c r="W26" s="158">
        <f>1.2444*(Logic!$D$131)</f>
        <v>1.2817319999999999</v>
      </c>
      <c r="Z26" s="124"/>
      <c r="AB26" s="136">
        <v>84400132</v>
      </c>
      <c r="AC26" s="133">
        <v>15</v>
      </c>
      <c r="AD26" s="158">
        <f>6.1812*(Logic!$D$131)</f>
        <v>6.3666359999999997</v>
      </c>
      <c r="AE26" s="128"/>
      <c r="AF26" s="127"/>
      <c r="AG26" s="127"/>
      <c r="AH26" s="122"/>
      <c r="AN26" s="127">
        <v>91704752</v>
      </c>
      <c r="AO26" s="127" t="s">
        <v>1175</v>
      </c>
      <c r="AP26" s="158">
        <f>4.3146*(Logic!$D$131)</f>
        <v>4.4440380000000008</v>
      </c>
    </row>
    <row r="27" spans="1:42">
      <c r="A27" s="121" t="s">
        <v>576</v>
      </c>
      <c r="B27" s="121" t="s">
        <v>577</v>
      </c>
      <c r="C27" s="121" t="s">
        <v>576</v>
      </c>
      <c r="D27" s="158">
        <f>86.7612*(Logic!$D$131)</f>
        <v>89.364035999999999</v>
      </c>
      <c r="F27" s="121" t="s">
        <v>569</v>
      </c>
      <c r="G27" s="158">
        <f>5.2632*(Logic!$D$131)</f>
        <v>5.4210960000000004</v>
      </c>
      <c r="I27" s="134" t="s">
        <v>712</v>
      </c>
      <c r="J27" s="158">
        <f>62.6892*(Logic!$D$131)</f>
        <v>64.569876000000008</v>
      </c>
      <c r="L27" s="134" t="s">
        <v>765</v>
      </c>
      <c r="M27" s="158">
        <f>24.3984*(Logic!$D$131)</f>
        <v>25.130351999999998</v>
      </c>
      <c r="O27" s="121" t="s">
        <v>1348</v>
      </c>
      <c r="P27" s="134">
        <v>136</v>
      </c>
      <c r="Q27" s="150">
        <v>-0.36759999999999998</v>
      </c>
      <c r="S27" s="131" t="s">
        <v>857</v>
      </c>
      <c r="T27" s="158">
        <f>18.207*(Logic!$D$131)</f>
        <v>18.753210000000003</v>
      </c>
      <c r="V27" s="183" t="s">
        <v>1362</v>
      </c>
      <c r="W27" s="183"/>
      <c r="Z27" s="124"/>
      <c r="AB27" s="136">
        <v>84400133</v>
      </c>
      <c r="AC27" s="133">
        <v>20</v>
      </c>
      <c r="AD27" s="158">
        <f>7.4766*(Logic!$D$131)</f>
        <v>7.7008980000000005</v>
      </c>
      <c r="AE27" s="128"/>
      <c r="AF27" s="127"/>
      <c r="AG27" s="127"/>
      <c r="AH27" s="122"/>
      <c r="AN27" s="127">
        <v>95047261</v>
      </c>
      <c r="AO27" s="127" t="s">
        <v>1176</v>
      </c>
      <c r="AP27" s="158">
        <f>17.5134*(Logic!$D$131)</f>
        <v>18.038802</v>
      </c>
    </row>
    <row r="28" spans="1:42">
      <c r="A28" s="121" t="s">
        <v>574</v>
      </c>
      <c r="B28" s="121" t="s">
        <v>575</v>
      </c>
      <c r="C28" s="121" t="s">
        <v>574</v>
      </c>
      <c r="D28" s="158">
        <f>66.657*(Logic!$D$131)</f>
        <v>68.656710000000004</v>
      </c>
      <c r="F28" s="121" t="s">
        <v>566</v>
      </c>
      <c r="G28" s="158">
        <f>10.6182*(Logic!$D$131)</f>
        <v>10.936745999999999</v>
      </c>
      <c r="I28" s="134" t="s">
        <v>700</v>
      </c>
      <c r="J28" s="158">
        <f>40.7592*(Logic!$D$131)</f>
        <v>41.981976000000003</v>
      </c>
      <c r="L28" s="134" t="s">
        <v>766</v>
      </c>
      <c r="M28" s="158">
        <f>6.1812*(Logic!$D$131)</f>
        <v>6.3666359999999997</v>
      </c>
      <c r="O28" s="121" t="s">
        <v>1320</v>
      </c>
      <c r="P28" s="134">
        <v>137</v>
      </c>
      <c r="Q28" s="150">
        <v>-0.69399999999999995</v>
      </c>
      <c r="S28" s="125" t="s">
        <v>858</v>
      </c>
      <c r="T28" s="158">
        <f>8.2926*(Logic!$D$131)</f>
        <v>8.5413779999999999</v>
      </c>
      <c r="V28" s="129" t="s">
        <v>1047</v>
      </c>
      <c r="W28" s="158">
        <f>0*(Logic!$D$131)</f>
        <v>0</v>
      </c>
      <c r="AB28" s="136">
        <v>84400134</v>
      </c>
      <c r="AC28" s="133">
        <v>25</v>
      </c>
      <c r="AD28" s="158">
        <f>8.6496*(Logic!$D$131)</f>
        <v>8.9090880000000006</v>
      </c>
      <c r="AE28" s="128"/>
      <c r="AF28" s="127"/>
      <c r="AG28" s="127"/>
      <c r="AH28" s="122"/>
      <c r="AN28" s="127">
        <v>90216161</v>
      </c>
      <c r="AO28" s="127" t="s">
        <v>1177</v>
      </c>
      <c r="AP28" s="158">
        <f>13.9026*(Logic!$D$131)</f>
        <v>14.319678</v>
      </c>
    </row>
    <row r="29" spans="1:42">
      <c r="A29" s="91" t="s">
        <v>570</v>
      </c>
      <c r="B29" s="121" t="s">
        <v>571</v>
      </c>
      <c r="C29" s="91" t="s">
        <v>570</v>
      </c>
      <c r="D29" s="158">
        <f>79.8558*(Logic!$D$131)</f>
        <v>82.251474000000002</v>
      </c>
      <c r="F29" s="121" t="s">
        <v>676</v>
      </c>
      <c r="G29" s="158">
        <f>10.6182*(Logic!$D$131)</f>
        <v>10.936745999999999</v>
      </c>
      <c r="I29" s="134" t="s">
        <v>713</v>
      </c>
      <c r="J29" s="158">
        <f>68.3094*(Logic!$D$131)</f>
        <v>70.358682000000002</v>
      </c>
      <c r="L29" s="134" t="s">
        <v>767</v>
      </c>
      <c r="M29" s="158">
        <f>1.5096*(Logic!$D$131)</f>
        <v>1.554888</v>
      </c>
      <c r="O29" s="121" t="s">
        <v>1342</v>
      </c>
      <c r="P29" s="121">
        <v>138</v>
      </c>
      <c r="Q29" s="150">
        <v>-0.1583</v>
      </c>
      <c r="S29" s="132" t="s">
        <v>572</v>
      </c>
      <c r="T29" s="158">
        <f>3.4986*(Logic!$D$131)</f>
        <v>3.603558</v>
      </c>
      <c r="V29" s="129" t="s">
        <v>1048</v>
      </c>
      <c r="W29" s="158">
        <f>1.173*(Logic!$D$131)</f>
        <v>1.2081900000000001</v>
      </c>
      <c r="AB29" s="136">
        <v>84400135</v>
      </c>
      <c r="AC29" s="133">
        <v>30</v>
      </c>
      <c r="AD29" s="158">
        <f>12.954*(Logic!$D$131)</f>
        <v>13.34262</v>
      </c>
      <c r="AE29" s="128"/>
      <c r="AF29" s="127"/>
      <c r="AG29" s="127"/>
      <c r="AH29" s="122"/>
      <c r="AN29" s="127">
        <v>91707508</v>
      </c>
      <c r="AO29" s="127" t="s">
        <v>1178</v>
      </c>
      <c r="AP29" s="158">
        <f>61.761*(Logic!$D$131)</f>
        <v>63.613830000000007</v>
      </c>
    </row>
    <row r="30" spans="1:42">
      <c r="A30" s="121" t="s">
        <v>567</v>
      </c>
      <c r="B30" s="121" t="s">
        <v>568</v>
      </c>
      <c r="C30" s="121" t="s">
        <v>567</v>
      </c>
      <c r="D30" s="158">
        <f>55.4676*(Logic!$D$131)</f>
        <v>57.131627999999999</v>
      </c>
      <c r="F30" s="121" t="s">
        <v>561</v>
      </c>
      <c r="G30" s="158">
        <f>10.6182*(Logic!$D$131)</f>
        <v>10.936745999999999</v>
      </c>
      <c r="I30" s="134" t="s">
        <v>701</v>
      </c>
      <c r="J30" s="158">
        <f>44.4822*(Logic!$D$131)</f>
        <v>45.816665999999998</v>
      </c>
      <c r="L30" s="134" t="s">
        <v>768</v>
      </c>
      <c r="M30" s="158">
        <f>1.5096*(Logic!$D$131)</f>
        <v>1.554888</v>
      </c>
      <c r="O30" s="121" t="s">
        <v>1323</v>
      </c>
      <c r="P30" s="121">
        <v>139</v>
      </c>
      <c r="Q30" s="150">
        <v>-0.10880000000000001</v>
      </c>
      <c r="S30" s="135" t="s">
        <v>859</v>
      </c>
      <c r="T30" s="158">
        <f>16.5954*(Logic!$D$131)</f>
        <v>17.093262000000003</v>
      </c>
      <c r="V30" s="129" t="s">
        <v>1049</v>
      </c>
      <c r="W30" s="158">
        <f>15.6468*(Logic!$D$131)</f>
        <v>16.116204</v>
      </c>
      <c r="AB30" s="136">
        <v>84400136</v>
      </c>
      <c r="AC30" s="133">
        <v>35</v>
      </c>
      <c r="AD30" s="158">
        <f>17.4012*(Logic!$D$131)</f>
        <v>17.923235999999999</v>
      </c>
      <c r="AE30" s="128"/>
      <c r="AF30" s="127"/>
      <c r="AG30" s="127"/>
      <c r="AH30" s="122"/>
      <c r="AN30" s="127">
        <v>95047391</v>
      </c>
      <c r="AO30" s="127" t="s">
        <v>1179</v>
      </c>
      <c r="AP30" s="158">
        <f>86.9856*(Logic!$D$131)</f>
        <v>89.595168000000001</v>
      </c>
    </row>
    <row r="31" spans="1:42">
      <c r="A31" s="121" t="s">
        <v>564</v>
      </c>
      <c r="B31" s="121" t="s">
        <v>565</v>
      </c>
      <c r="C31" s="121" t="s">
        <v>564</v>
      </c>
      <c r="D31" s="158">
        <f>55.4676*(Logic!$D$131)</f>
        <v>57.131627999999999</v>
      </c>
      <c r="F31" s="121" t="s">
        <v>677</v>
      </c>
      <c r="G31" s="158">
        <f>15.8814*(Logic!$D$131)</f>
        <v>16.357841999999998</v>
      </c>
      <c r="I31" s="134" t="s">
        <v>714</v>
      </c>
      <c r="J31" s="158">
        <f>74.0316*(Logic!$D$131)</f>
        <v>76.252548000000004</v>
      </c>
      <c r="L31" s="134" t="s">
        <v>769</v>
      </c>
      <c r="M31" s="158">
        <f>-2.448*(Logic!$D$131)</f>
        <v>-2.5214400000000001</v>
      </c>
      <c r="O31" s="121" t="s">
        <v>1332</v>
      </c>
      <c r="P31" s="121">
        <v>140</v>
      </c>
      <c r="Q31" s="150">
        <v>0</v>
      </c>
      <c r="S31" s="135" t="s">
        <v>1361</v>
      </c>
      <c r="T31" s="158">
        <f>7.01*(Logic!$D$131)</f>
        <v>7.2202999999999999</v>
      </c>
      <c r="V31" s="129" t="s">
        <v>1040</v>
      </c>
      <c r="W31" s="158">
        <f>0*(Logic!$D$131)</f>
        <v>0</v>
      </c>
      <c r="AB31" s="136">
        <v>84400137</v>
      </c>
      <c r="AC31" s="133">
        <v>40</v>
      </c>
      <c r="AD31" s="158">
        <f>21.7158*(Logic!$D$131)</f>
        <v>22.367274000000002</v>
      </c>
      <c r="AE31" s="128"/>
      <c r="AF31" s="127"/>
      <c r="AG31" s="127"/>
      <c r="AH31" s="122"/>
      <c r="AN31" s="127">
        <v>90543111</v>
      </c>
      <c r="AO31" s="127" t="s">
        <v>1180</v>
      </c>
      <c r="AP31" s="158">
        <f>24.3984*(Logic!$D$131)</f>
        <v>25.130351999999998</v>
      </c>
    </row>
    <row r="32" spans="1:42">
      <c r="A32" s="121" t="s">
        <v>562</v>
      </c>
      <c r="B32" s="121" t="s">
        <v>563</v>
      </c>
      <c r="C32" s="121" t="s">
        <v>562</v>
      </c>
      <c r="D32" s="158">
        <f>44.9514*(Logic!$D$131)</f>
        <v>46.299942000000001</v>
      </c>
      <c r="F32" s="121" t="s">
        <v>552</v>
      </c>
      <c r="G32" s="158">
        <f>15.8814*(Logic!$D$131)</f>
        <v>16.357841999999998</v>
      </c>
      <c r="I32" s="134" t="s">
        <v>560</v>
      </c>
      <c r="J32" s="158">
        <f>-7.9356*(Logic!$D$131)</f>
        <v>-8.173668000000001</v>
      </c>
      <c r="L32" s="134" t="s">
        <v>897</v>
      </c>
      <c r="M32" s="158">
        <f>21.6036*(Logic!$D$131)</f>
        <v>22.251708000000001</v>
      </c>
      <c r="O32" s="121" t="s">
        <v>1324</v>
      </c>
      <c r="P32" s="121">
        <v>141</v>
      </c>
      <c r="Q32" s="150">
        <v>0</v>
      </c>
      <c r="S32" s="183" t="s">
        <v>837</v>
      </c>
      <c r="T32" s="183"/>
      <c r="V32" s="129" t="s">
        <v>1041</v>
      </c>
      <c r="W32" s="158">
        <f>3.621*(Logic!$D$131)</f>
        <v>3.7296300000000002</v>
      </c>
      <c r="Y32" s="122"/>
      <c r="AB32" s="136">
        <v>84400138</v>
      </c>
      <c r="AC32" s="133">
        <v>45</v>
      </c>
      <c r="AD32" s="158">
        <f>26.0406*(Logic!$D$131)</f>
        <v>26.821818</v>
      </c>
      <c r="AE32" s="128"/>
      <c r="AF32" s="127"/>
      <c r="AG32" s="127"/>
      <c r="AH32" s="122"/>
      <c r="AN32" s="127"/>
      <c r="AO32" s="127"/>
      <c r="AP32" s="149"/>
    </row>
    <row r="33" spans="1:42">
      <c r="A33" s="121" t="s">
        <v>557</v>
      </c>
      <c r="B33" s="121" t="s">
        <v>558</v>
      </c>
      <c r="C33" s="121" t="s">
        <v>557</v>
      </c>
      <c r="D33" s="158">
        <f>55.5798*(Logic!$D$131)</f>
        <v>57.247194</v>
      </c>
      <c r="F33" s="121" t="s">
        <v>547</v>
      </c>
      <c r="G33" s="158">
        <f>15.8814*(Logic!$D$131)</f>
        <v>16.357841999999998</v>
      </c>
      <c r="I33" s="134" t="s">
        <v>556</v>
      </c>
      <c r="J33" s="158">
        <f>-7.9356*(Logic!$D$131)</f>
        <v>-8.173668000000001</v>
      </c>
      <c r="L33" s="134" t="s">
        <v>898</v>
      </c>
      <c r="M33" s="158">
        <f>21.6036*(Logic!$D$131)</f>
        <v>22.251708000000001</v>
      </c>
      <c r="S33" s="140" t="s">
        <v>777</v>
      </c>
      <c r="T33" s="158">
        <f>8.1906*(Logic!$D$131)</f>
        <v>8.436318</v>
      </c>
      <c r="V33" s="129" t="s">
        <v>1042</v>
      </c>
      <c r="W33" s="158">
        <f>8.9862*(Logic!$D$131)</f>
        <v>9.2557860000000005</v>
      </c>
      <c r="Y33" s="122"/>
      <c r="AB33" s="128"/>
      <c r="AC33" s="128"/>
      <c r="AD33" s="128">
        <v>0</v>
      </c>
      <c r="AE33" s="128"/>
      <c r="AF33" s="127"/>
      <c r="AG33" s="127"/>
      <c r="AH33" s="122"/>
      <c r="AN33" s="127">
        <v>91707120</v>
      </c>
      <c r="AO33" s="127" t="s">
        <v>1181</v>
      </c>
      <c r="AP33" s="158">
        <f>507.8988*(Logic!$D$131)</f>
        <v>523.13576399999999</v>
      </c>
    </row>
    <row r="34" spans="1:42">
      <c r="A34" s="121" t="s">
        <v>553</v>
      </c>
      <c r="B34" s="121" t="s">
        <v>554</v>
      </c>
      <c r="C34" s="121" t="s">
        <v>553</v>
      </c>
      <c r="D34" s="158">
        <f>50.7858*(Logic!$D$131)</f>
        <v>52.309374000000005</v>
      </c>
      <c r="F34" s="121" t="s">
        <v>543</v>
      </c>
      <c r="G34" s="158">
        <f>15.8814*(Logic!$D$131)</f>
        <v>16.357841999999998</v>
      </c>
      <c r="I34" s="134" t="s">
        <v>551</v>
      </c>
      <c r="J34" s="158">
        <f>-8.9862*(Logic!$D$131)</f>
        <v>-9.2557860000000005</v>
      </c>
      <c r="L34" s="134" t="s">
        <v>1001</v>
      </c>
      <c r="M34" s="158">
        <f>1.8054*(Logic!$D$131)</f>
        <v>1.8595619999999999</v>
      </c>
      <c r="S34" s="140" t="s">
        <v>779</v>
      </c>
      <c r="T34" s="158">
        <f>8.1906*(Logic!$D$131)</f>
        <v>8.436318</v>
      </c>
      <c r="V34" s="129" t="s">
        <v>1043</v>
      </c>
      <c r="W34" s="158">
        <f>12.6072*(Logic!$D$131)</f>
        <v>12.985416000000001</v>
      </c>
      <c r="Y34" s="122"/>
      <c r="AB34" s="136">
        <v>84400008</v>
      </c>
      <c r="AC34" s="127" t="s">
        <v>955</v>
      </c>
      <c r="AD34" s="158">
        <f>0.459*(Logic!$D$131)</f>
        <v>0.47277000000000002</v>
      </c>
      <c r="AE34" s="128"/>
      <c r="AF34" s="127"/>
      <c r="AG34" s="127"/>
      <c r="AH34" s="122"/>
      <c r="AN34" s="127">
        <v>90286191</v>
      </c>
      <c r="AO34" s="127" t="s">
        <v>1182</v>
      </c>
      <c r="AP34" s="158">
        <f>4.9164*(Logic!$D$131)</f>
        <v>5.0638920000000001</v>
      </c>
    </row>
    <row r="35" spans="1:42">
      <c r="A35" s="121" t="s">
        <v>548</v>
      </c>
      <c r="B35" s="121" t="s">
        <v>549</v>
      </c>
      <c r="C35" s="121" t="s">
        <v>548</v>
      </c>
      <c r="D35" s="158">
        <f>67.1568*(Logic!$D$131)</f>
        <v>69.171504000000013</v>
      </c>
      <c r="F35" s="121" t="s">
        <v>678</v>
      </c>
      <c r="G35" s="158">
        <f>21.2568*(Logic!$D$131)</f>
        <v>21.894503999999998</v>
      </c>
      <c r="I35" s="134" t="s">
        <v>546</v>
      </c>
      <c r="J35" s="158">
        <f>-7.9356*(Logic!$D$131)</f>
        <v>-8.173668000000001</v>
      </c>
      <c r="L35" s="134" t="s">
        <v>1002</v>
      </c>
      <c r="M35" s="158">
        <f>2.1624*(Logic!$D$131)</f>
        <v>2.2272720000000001</v>
      </c>
      <c r="S35" s="183" t="s">
        <v>838</v>
      </c>
      <c r="T35" s="183"/>
      <c r="V35" s="129" t="s">
        <v>1044</v>
      </c>
      <c r="W35" s="158">
        <f>18.105*(Logic!$D$131)</f>
        <v>18.648150000000001</v>
      </c>
      <c r="Y35" s="122"/>
      <c r="AB35" s="136">
        <v>84400071</v>
      </c>
      <c r="AC35" s="127" t="s">
        <v>956</v>
      </c>
      <c r="AD35" s="158">
        <f>7.4562*(Logic!$D$131)</f>
        <v>7.6798859999999998</v>
      </c>
      <c r="AE35" s="128"/>
      <c r="AF35" s="127"/>
      <c r="AG35" s="127"/>
      <c r="AH35" s="122"/>
      <c r="AN35" s="127">
        <v>91708769</v>
      </c>
      <c r="AO35" s="127" t="s">
        <v>1183</v>
      </c>
      <c r="AP35" s="158">
        <f>3096.8118*(Logic!$D$131)</f>
        <v>3189.7161540000002</v>
      </c>
    </row>
    <row r="36" spans="1:42">
      <c r="A36" s="121" t="s">
        <v>544</v>
      </c>
      <c r="B36" s="121" t="s">
        <v>545</v>
      </c>
      <c r="C36" s="121" t="s">
        <v>544</v>
      </c>
      <c r="D36" s="158">
        <f>92.9424*(Logic!$D$131)</f>
        <v>95.730672000000013</v>
      </c>
      <c r="F36" s="121" t="s">
        <v>536</v>
      </c>
      <c r="G36" s="158">
        <f>21.2568*(Logic!$D$131)</f>
        <v>21.894503999999998</v>
      </c>
      <c r="I36" s="134" t="s">
        <v>542</v>
      </c>
      <c r="J36" s="158">
        <f>-7.9356*(Logic!$D$131)</f>
        <v>-8.173668000000001</v>
      </c>
      <c r="L36" s="134" t="s">
        <v>1100</v>
      </c>
      <c r="M36" s="158">
        <f>1.6218*(Logic!$D$131)</f>
        <v>1.6704539999999999</v>
      </c>
      <c r="O36" s="183" t="s">
        <v>739</v>
      </c>
      <c r="P36" s="183"/>
      <c r="S36" s="131" t="s">
        <v>823</v>
      </c>
      <c r="T36" s="158">
        <f>13.7598*(Logic!$D$131)</f>
        <v>14.172594</v>
      </c>
      <c r="V36" s="129" t="s">
        <v>1045</v>
      </c>
      <c r="W36" s="158">
        <f>21.6036*(Logic!$D$131)</f>
        <v>22.251708000000001</v>
      </c>
      <c r="Y36" s="122"/>
      <c r="AB36" s="136">
        <v>84401010</v>
      </c>
      <c r="AC36" s="141" t="s">
        <v>957</v>
      </c>
      <c r="AD36" s="158">
        <f>755.0652*(Logic!$D$131)</f>
        <v>777.71715600000005</v>
      </c>
      <c r="AE36" s="128"/>
      <c r="AF36" s="127"/>
      <c r="AG36" s="127"/>
      <c r="AH36" s="122"/>
      <c r="AN36" s="127">
        <v>90216179</v>
      </c>
      <c r="AO36" s="127" t="s">
        <v>1184</v>
      </c>
      <c r="AP36" s="158">
        <f>29.427*(Logic!$D$131)</f>
        <v>30.309809999999999</v>
      </c>
    </row>
    <row r="37" spans="1:42">
      <c r="A37" s="121" t="s">
        <v>540</v>
      </c>
      <c r="B37" s="121" t="s">
        <v>541</v>
      </c>
      <c r="C37" s="121" t="s">
        <v>540</v>
      </c>
      <c r="D37" s="158">
        <f>63.8622*(Logic!$D$131)</f>
        <v>65.77806600000001</v>
      </c>
      <c r="F37" s="121" t="s">
        <v>679</v>
      </c>
      <c r="G37" s="158">
        <f>30.4674*(Logic!$D$131)</f>
        <v>31.381422000000001</v>
      </c>
      <c r="I37" s="134" t="s">
        <v>539</v>
      </c>
      <c r="J37" s="158">
        <f>-7.9356*(Logic!$D$131)</f>
        <v>-8.173668000000001</v>
      </c>
      <c r="L37" s="134"/>
      <c r="M37" s="124"/>
      <c r="O37" s="125" t="s">
        <v>730</v>
      </c>
      <c r="P37" s="158">
        <f>2.805*(Logic!$D$131)</f>
        <v>2.8891500000000003</v>
      </c>
      <c r="S37" s="131" t="s">
        <v>732</v>
      </c>
      <c r="T37" s="158">
        <f>2.448*(Logic!$D$131)</f>
        <v>2.5214400000000001</v>
      </c>
      <c r="V37" s="129" t="s">
        <v>1046</v>
      </c>
      <c r="W37" s="158">
        <f>13.1886*(Logic!$D$131)</f>
        <v>13.584258</v>
      </c>
      <c r="Y37" s="122"/>
      <c r="AC37" s="126" t="s">
        <v>968</v>
      </c>
      <c r="AN37" s="127">
        <v>90543091</v>
      </c>
      <c r="AO37" s="127" t="s">
        <v>1185</v>
      </c>
      <c r="AP37" s="158">
        <f>20.196*(Logic!$D$131)</f>
        <v>20.801880000000001</v>
      </c>
    </row>
    <row r="38" spans="1:42">
      <c r="A38" s="121" t="s">
        <v>537</v>
      </c>
      <c r="B38" s="121" t="s">
        <v>538</v>
      </c>
      <c r="C38" s="121" t="s">
        <v>537</v>
      </c>
      <c r="D38" s="158">
        <f>59.0784*(Logic!$D$131)</f>
        <v>60.850752000000007</v>
      </c>
      <c r="F38" s="121" t="s">
        <v>530</v>
      </c>
      <c r="G38" s="158">
        <f>30.4674*(Logic!$D$131)</f>
        <v>31.381422000000001</v>
      </c>
      <c r="I38" s="134" t="s">
        <v>848</v>
      </c>
      <c r="J38" s="158">
        <f>-7.9356*(Logic!$D$131)</f>
        <v>-8.173668000000001</v>
      </c>
      <c r="L38" s="134"/>
      <c r="M38" s="124"/>
      <c r="O38" s="125" t="s">
        <v>13</v>
      </c>
      <c r="P38" s="158">
        <f>0*(Logic!$D$131)</f>
        <v>0</v>
      </c>
      <c r="S38" s="131" t="s">
        <v>830</v>
      </c>
      <c r="T38" s="158">
        <f>12.954*(Logic!$D$131)</f>
        <v>13.34262</v>
      </c>
      <c r="AC38" s="136">
        <v>80000322</v>
      </c>
      <c r="AD38" s="158">
        <f>0.357*(Logic!$D$131)</f>
        <v>0.36770999999999998</v>
      </c>
      <c r="AE38" s="127" t="s">
        <v>969</v>
      </c>
      <c r="AN38" s="127">
        <v>90543101</v>
      </c>
      <c r="AO38" s="127" t="s">
        <v>1186</v>
      </c>
      <c r="AP38" s="158">
        <f>34.4454*(Logic!$D$131)</f>
        <v>35.478762000000003</v>
      </c>
    </row>
    <row r="39" spans="1:42">
      <c r="A39" s="121" t="s">
        <v>534</v>
      </c>
      <c r="B39" s="121" t="s">
        <v>535</v>
      </c>
      <c r="C39" s="121" t="s">
        <v>534</v>
      </c>
      <c r="D39" s="158">
        <f>63.9744*(Logic!$D$131)</f>
        <v>65.893632000000011</v>
      </c>
      <c r="F39" s="121" t="s">
        <v>526</v>
      </c>
      <c r="G39" s="158">
        <f>30.4674*(Logic!$D$131)</f>
        <v>31.381422000000001</v>
      </c>
      <c r="I39" s="134" t="s">
        <v>533</v>
      </c>
      <c r="J39" s="158">
        <f>0*(Logic!$D$131)</f>
        <v>0</v>
      </c>
      <c r="L39" s="134"/>
      <c r="M39" s="124"/>
      <c r="O39" s="125" t="s">
        <v>28</v>
      </c>
      <c r="P39" s="158">
        <f>-3.1212*(Logic!$D$131)</f>
        <v>-3.214836</v>
      </c>
      <c r="S39" s="131" t="s">
        <v>740</v>
      </c>
      <c r="T39" s="158">
        <f>1.173*(Logic!$D$131)</f>
        <v>1.2081900000000001</v>
      </c>
      <c r="AC39" s="136">
        <v>80002027</v>
      </c>
      <c r="AD39" s="158">
        <f>3.8556*(Logic!$D$131)</f>
        <v>3.9712679999999998</v>
      </c>
      <c r="AE39" s="127" t="s">
        <v>970</v>
      </c>
      <c r="AN39" s="127">
        <v>90079281</v>
      </c>
      <c r="AO39" s="127" t="s">
        <v>1187</v>
      </c>
      <c r="AP39" s="158">
        <f>123.8688*(Logic!$D$131)</f>
        <v>127.584864</v>
      </c>
    </row>
    <row r="40" spans="1:42">
      <c r="A40" s="91" t="s">
        <v>531</v>
      </c>
      <c r="B40" s="121" t="s">
        <v>532</v>
      </c>
      <c r="C40" s="91" t="s">
        <v>531</v>
      </c>
      <c r="D40" s="158">
        <f>58.0278*(Logic!$D$131)</f>
        <v>59.768633999999999</v>
      </c>
      <c r="F40" s="121" t="s">
        <v>522</v>
      </c>
      <c r="G40" s="158">
        <f>30.4674*(Logic!$D$131)</f>
        <v>31.381422000000001</v>
      </c>
      <c r="I40" s="134" t="s">
        <v>508</v>
      </c>
      <c r="J40" s="158">
        <f>-7.4766*(Logic!$D$131)</f>
        <v>-7.7008980000000005</v>
      </c>
      <c r="O40" s="125" t="s">
        <v>29</v>
      </c>
      <c r="P40" s="158">
        <f>-4.284*(Logic!$D$131)</f>
        <v>-4.4125199999999998</v>
      </c>
      <c r="S40" s="131" t="s">
        <v>881</v>
      </c>
      <c r="T40" s="158">
        <f>1.173*(Logic!$D$131)</f>
        <v>1.2081900000000001</v>
      </c>
      <c r="AC40" s="136">
        <v>80002029</v>
      </c>
      <c r="AD40" s="158">
        <f>3.8556*(Logic!$D$131)</f>
        <v>3.9712679999999998</v>
      </c>
      <c r="AE40" s="127" t="s">
        <v>971</v>
      </c>
      <c r="AN40" s="127">
        <v>91535035</v>
      </c>
      <c r="AO40" s="127" t="s">
        <v>1188</v>
      </c>
      <c r="AP40" s="158">
        <f>14.7186*(Logic!$D$131)</f>
        <v>15.160158000000001</v>
      </c>
    </row>
    <row r="41" spans="1:42">
      <c r="A41" s="121" t="s">
        <v>527</v>
      </c>
      <c r="B41" s="121" t="s">
        <v>528</v>
      </c>
      <c r="C41" s="121" t="s">
        <v>527</v>
      </c>
      <c r="D41" s="158">
        <f>86.7612*(Logic!$D$131)</f>
        <v>89.364035999999999</v>
      </c>
      <c r="F41" s="121" t="s">
        <v>680</v>
      </c>
      <c r="G41" s="158">
        <f>39.8004*(Logic!$D$131)</f>
        <v>40.994412000000004</v>
      </c>
      <c r="I41" s="134" t="s">
        <v>529</v>
      </c>
      <c r="J41" s="158">
        <f>-14.0148*(Logic!$D$131)</f>
        <v>-14.435243999999999</v>
      </c>
      <c r="O41" s="125" t="s">
        <v>786</v>
      </c>
      <c r="P41" s="158">
        <f>-1.173*(Logic!$D$131)</f>
        <v>-1.2081900000000001</v>
      </c>
      <c r="S41" s="123" t="s">
        <v>692</v>
      </c>
      <c r="T41" s="158">
        <f>1.173*(Logic!$D$131)</f>
        <v>1.2081900000000001</v>
      </c>
      <c r="AC41" s="136">
        <v>80002032</v>
      </c>
      <c r="AD41" s="158">
        <f>3.8556*(Logic!$D$131)</f>
        <v>3.9712679999999998</v>
      </c>
      <c r="AE41" s="127" t="s">
        <v>972</v>
      </c>
      <c r="AN41" s="127">
        <v>95047731</v>
      </c>
      <c r="AO41" s="127" t="s">
        <v>1189</v>
      </c>
      <c r="AP41" s="158">
        <f>7.7112*(Logic!$D$131)</f>
        <v>7.9425359999999996</v>
      </c>
    </row>
    <row r="42" spans="1:42">
      <c r="A42" s="121" t="s">
        <v>523</v>
      </c>
      <c r="B42" s="121" t="s">
        <v>524</v>
      </c>
      <c r="C42" s="121" t="s">
        <v>523</v>
      </c>
      <c r="D42" s="158">
        <f>46.1244*(Logic!$D$131)</f>
        <v>47.508132000000003</v>
      </c>
      <c r="F42" s="121" t="s">
        <v>515</v>
      </c>
      <c r="G42" s="158">
        <f>39.8004*(Logic!$D$131)</f>
        <v>40.994412000000004</v>
      </c>
      <c r="I42" s="134" t="s">
        <v>887</v>
      </c>
      <c r="J42" s="158">
        <f>-18.6762*(Logic!$D$131)</f>
        <v>-19.236486000000003</v>
      </c>
      <c r="O42" s="125" t="s">
        <v>1009</v>
      </c>
      <c r="P42" s="158"/>
      <c r="S42" s="134" t="s">
        <v>585</v>
      </c>
      <c r="T42" s="158">
        <f>20.6652*(Logic!$D$131)</f>
        <v>21.285156000000001</v>
      </c>
      <c r="AC42" s="136">
        <v>80002034</v>
      </c>
      <c r="AD42" s="158">
        <f>3.8556*(Logic!$D$131)</f>
        <v>3.9712679999999998</v>
      </c>
      <c r="AE42" s="127" t="s">
        <v>973</v>
      </c>
      <c r="AN42" s="127">
        <v>51019126</v>
      </c>
      <c r="AO42" s="127" t="s">
        <v>1190</v>
      </c>
      <c r="AP42" s="158">
        <f>3.978*(Logic!$D$131)</f>
        <v>4.09734</v>
      </c>
    </row>
    <row r="43" spans="1:42">
      <c r="A43" s="121" t="s">
        <v>519</v>
      </c>
      <c r="B43" s="121" t="s">
        <v>520</v>
      </c>
      <c r="C43" s="121" t="s">
        <v>519</v>
      </c>
      <c r="D43" s="158">
        <f>0*(Logic!$D$131)</f>
        <v>0</v>
      </c>
      <c r="F43" s="121" t="s">
        <v>681</v>
      </c>
      <c r="G43" s="158">
        <f>49.0314*(Logic!$D$131)</f>
        <v>50.502341999999999</v>
      </c>
      <c r="I43" s="134" t="s">
        <v>521</v>
      </c>
      <c r="J43" s="158">
        <f>0*(Logic!$D$131)</f>
        <v>0</v>
      </c>
      <c r="O43" s="135" t="s">
        <v>30</v>
      </c>
      <c r="P43" s="158">
        <f>-14.79*(Logic!$D$131)</f>
        <v>-15.233699999999999</v>
      </c>
      <c r="S43" s="121" t="s">
        <v>1134</v>
      </c>
      <c r="T43" s="158">
        <f>2.499*(Logic!$D$131)</f>
        <v>2.5739700000000001</v>
      </c>
      <c r="AC43" s="136">
        <v>80002035</v>
      </c>
      <c r="AD43" s="158">
        <f>3.8556*(Logic!$D$131)</f>
        <v>3.9712679999999998</v>
      </c>
      <c r="AE43" s="127" t="s">
        <v>1316</v>
      </c>
      <c r="AN43" s="127">
        <v>95047461</v>
      </c>
      <c r="AO43" s="127" t="s">
        <v>1191</v>
      </c>
      <c r="AP43" s="158">
        <f>40.1778*(Logic!$D$131)</f>
        <v>41.383133999999998</v>
      </c>
    </row>
    <row r="44" spans="1:42" ht="15" customHeight="1">
      <c r="A44" s="121" t="s">
        <v>516</v>
      </c>
      <c r="B44" s="121" t="s">
        <v>517</v>
      </c>
      <c r="C44" s="121" t="s">
        <v>516</v>
      </c>
      <c r="D44" s="158">
        <f>8.9862*(Logic!$D$131)</f>
        <v>9.2557860000000005</v>
      </c>
      <c r="F44" s="121" t="s">
        <v>509</v>
      </c>
      <c r="G44" s="158">
        <f>49.0314*(Logic!$D$131)</f>
        <v>50.502341999999999</v>
      </c>
      <c r="I44" s="134" t="s">
        <v>518</v>
      </c>
      <c r="J44" s="158">
        <f>58.2624*(Logic!$D$131)</f>
        <v>60.010272000000001</v>
      </c>
      <c r="O44" s="135" t="s">
        <v>1083</v>
      </c>
      <c r="P44" s="158">
        <f>1.2444*(Logic!$D$131)</f>
        <v>1.2817319999999999</v>
      </c>
      <c r="S44" s="183" t="s">
        <v>839</v>
      </c>
      <c r="T44" s="183"/>
      <c r="AC44" s="136">
        <v>80002036</v>
      </c>
      <c r="AD44" s="158">
        <f>3.8556*(Logic!$D$131)</f>
        <v>3.9712679999999998</v>
      </c>
      <c r="AE44" s="127" t="s">
        <v>974</v>
      </c>
      <c r="AN44" s="127">
        <v>90543021</v>
      </c>
      <c r="AO44" s="127" t="s">
        <v>1192</v>
      </c>
      <c r="AP44" s="158">
        <f>34.0884*(Logic!$D$131)</f>
        <v>35.111052000000001</v>
      </c>
    </row>
    <row r="45" spans="1:42">
      <c r="A45" s="121" t="s">
        <v>512</v>
      </c>
      <c r="B45" s="121" t="s">
        <v>513</v>
      </c>
      <c r="C45" s="121" t="s">
        <v>512</v>
      </c>
      <c r="D45" s="158">
        <f>126.3372*(Logic!$D$131)</f>
        <v>130.12731600000001</v>
      </c>
      <c r="F45" s="121" t="s">
        <v>682</v>
      </c>
      <c r="G45" s="158">
        <f>58.3848*(Logic!$D$131)</f>
        <v>60.136344000000001</v>
      </c>
      <c r="I45" s="134" t="s">
        <v>514</v>
      </c>
      <c r="J45" s="158">
        <f>116.5248*(Logic!$D$131)</f>
        <v>120.020544</v>
      </c>
      <c r="O45" s="135" t="s">
        <v>1084</v>
      </c>
      <c r="P45" s="158">
        <f>0*(Logic!$D$131)</f>
        <v>0</v>
      </c>
      <c r="S45" s="131" t="s">
        <v>863</v>
      </c>
      <c r="T45" s="158">
        <f>3.978*(Logic!$D$131)</f>
        <v>4.09734</v>
      </c>
      <c r="AC45" s="136">
        <v>80100613</v>
      </c>
      <c r="AD45" s="158">
        <f>2.5806*(Logic!$D$131)</f>
        <v>2.6580180000000002</v>
      </c>
      <c r="AE45" s="127" t="s">
        <v>975</v>
      </c>
      <c r="AN45" s="127">
        <v>90543652</v>
      </c>
      <c r="AO45" s="127" t="s">
        <v>1193</v>
      </c>
      <c r="AP45" s="158">
        <f>7.242*(Logic!$D$131)</f>
        <v>7.4592600000000004</v>
      </c>
    </row>
    <row r="46" spans="1:42">
      <c r="A46" s="121" t="s">
        <v>510</v>
      </c>
      <c r="B46" s="121" t="s">
        <v>511</v>
      </c>
      <c r="C46" s="121" t="s">
        <v>510</v>
      </c>
      <c r="D46" s="158">
        <f>0*(Logic!$D$131)</f>
        <v>0</v>
      </c>
      <c r="F46" s="121" t="s">
        <v>503</v>
      </c>
      <c r="G46" s="158">
        <f>58.3848*(Logic!$D$131)</f>
        <v>60.136344000000001</v>
      </c>
      <c r="I46" s="134" t="s">
        <v>497</v>
      </c>
      <c r="J46" s="158">
        <f>-7.9356*(Logic!$D$131)</f>
        <v>-8.173668000000001</v>
      </c>
      <c r="O46" s="121" t="s">
        <v>1363</v>
      </c>
      <c r="P46" s="158">
        <f>6.505*(Logic!$D$131)</f>
        <v>6.7001499999999998</v>
      </c>
      <c r="S46" s="134" t="s">
        <v>840</v>
      </c>
      <c r="T46" s="158">
        <f>7.7112*(Logic!$D$131)</f>
        <v>7.9425359999999996</v>
      </c>
      <c r="AC46" s="136">
        <v>80100615</v>
      </c>
      <c r="AD46" s="158">
        <f>2.5806*(Logic!$D$131)</f>
        <v>2.6580180000000002</v>
      </c>
      <c r="AE46" s="127" t="s">
        <v>976</v>
      </c>
      <c r="AN46" s="127">
        <v>95047351</v>
      </c>
      <c r="AO46" s="127" t="s">
        <v>1194</v>
      </c>
      <c r="AP46" s="158">
        <f>17.4012*(Logic!$D$131)</f>
        <v>17.923235999999999</v>
      </c>
    </row>
    <row r="47" spans="1:42">
      <c r="A47" s="121" t="s">
        <v>506</v>
      </c>
      <c r="B47" s="121" t="s">
        <v>507</v>
      </c>
      <c r="C47" s="121" t="s">
        <v>506</v>
      </c>
      <c r="D47" s="158">
        <f>183.7734*(Logic!$D$131)</f>
        <v>189.28660200000002</v>
      </c>
      <c r="F47" s="121" t="s">
        <v>683</v>
      </c>
      <c r="G47" s="158">
        <f>67.7178*(Logic!$D$131)</f>
        <v>69.749334000000005</v>
      </c>
      <c r="I47" s="134" t="s">
        <v>494</v>
      </c>
      <c r="J47" s="158">
        <f>-7.9356*(Logic!$D$131)</f>
        <v>-8.173668000000001</v>
      </c>
      <c r="L47" s="92"/>
      <c r="O47" s="146"/>
      <c r="S47" s="183" t="s">
        <v>847</v>
      </c>
      <c r="T47" s="183"/>
      <c r="AC47" s="136">
        <v>80100617</v>
      </c>
      <c r="AD47" s="158">
        <f>3.8556*(Logic!$D$131)</f>
        <v>3.9712679999999998</v>
      </c>
      <c r="AE47" s="127" t="s">
        <v>977</v>
      </c>
      <c r="AN47" s="127">
        <v>90543081</v>
      </c>
      <c r="AO47" s="127" t="s">
        <v>1195</v>
      </c>
      <c r="AP47" s="158">
        <f>23.2458*(Logic!$D$131)</f>
        <v>23.943173999999999</v>
      </c>
    </row>
    <row r="48" spans="1:42">
      <c r="A48" s="121" t="s">
        <v>504</v>
      </c>
      <c r="B48" s="121" t="s">
        <v>505</v>
      </c>
      <c r="C48" s="121" t="s">
        <v>504</v>
      </c>
      <c r="D48" s="158">
        <f>276.726*(Logic!$D$131)</f>
        <v>285.02778000000001</v>
      </c>
      <c r="F48" s="121" t="s">
        <v>498</v>
      </c>
      <c r="G48" s="158">
        <f>67.7178*(Logic!$D$131)</f>
        <v>69.749334000000005</v>
      </c>
      <c r="I48" s="134" t="s">
        <v>491</v>
      </c>
      <c r="J48" s="158">
        <f>-7.9356*(Logic!$D$131)</f>
        <v>-8.173668000000001</v>
      </c>
      <c r="L48" s="92"/>
      <c r="O48" s="146"/>
      <c r="S48" s="134" t="s">
        <v>846</v>
      </c>
      <c r="T48" s="158">
        <f>12.8418*(Logic!$D$131)</f>
        <v>13.227053999999999</v>
      </c>
      <c r="AC48" s="136">
        <v>88000018</v>
      </c>
      <c r="AD48" s="158">
        <f>0.357*(Logic!$D$131)</f>
        <v>0.36770999999999998</v>
      </c>
      <c r="AE48" s="127" t="s">
        <v>978</v>
      </c>
      <c r="AN48" s="127">
        <v>90543591</v>
      </c>
      <c r="AO48" s="127" t="s">
        <v>1196</v>
      </c>
      <c r="AP48" s="158">
        <f>169.8912*(Logic!$D$131)</f>
        <v>174.98793599999999</v>
      </c>
    </row>
    <row r="49" spans="1:42">
      <c r="A49" s="121" t="s">
        <v>501</v>
      </c>
      <c r="B49" s="121" t="s">
        <v>502</v>
      </c>
      <c r="C49" s="121" t="s">
        <v>501</v>
      </c>
      <c r="D49" s="158">
        <f>221.9418*(Logic!$D$131)</f>
        <v>228.600054</v>
      </c>
      <c r="F49" s="121" t="s">
        <v>684</v>
      </c>
      <c r="G49" s="158">
        <f>76.959*(Logic!$D$131)</f>
        <v>79.267769999999999</v>
      </c>
      <c r="I49" s="134" t="s">
        <v>1026</v>
      </c>
      <c r="J49" s="158">
        <f>1.4076*(Logic!$D$131)</f>
        <v>1.4498279999999999</v>
      </c>
      <c r="L49" s="92"/>
      <c r="O49" s="146"/>
      <c r="S49" s="183" t="s">
        <v>841</v>
      </c>
      <c r="T49" s="183"/>
      <c r="AC49" s="136">
        <v>88000025</v>
      </c>
      <c r="AD49" s="158">
        <f>0.357*(Logic!$D$131)</f>
        <v>0.36770999999999998</v>
      </c>
      <c r="AE49" s="127" t="s">
        <v>979</v>
      </c>
      <c r="AN49" s="127">
        <v>91535071</v>
      </c>
      <c r="AO49" s="127" t="s">
        <v>1197</v>
      </c>
      <c r="AP49" s="158">
        <f>17.1156*(Logic!$D$131)</f>
        <v>17.629068</v>
      </c>
    </row>
    <row r="50" spans="1:42">
      <c r="A50" s="121" t="s">
        <v>499</v>
      </c>
      <c r="B50" s="121" t="s">
        <v>500</v>
      </c>
      <c r="C50" s="121" t="s">
        <v>499</v>
      </c>
      <c r="D50" s="158">
        <f>3.621*(Logic!$D$131)</f>
        <v>3.7296300000000002</v>
      </c>
      <c r="F50" s="121" t="s">
        <v>492</v>
      </c>
      <c r="G50" s="158">
        <f>76.959*(Logic!$D$131)</f>
        <v>79.267769999999999</v>
      </c>
      <c r="I50" s="121" t="s">
        <v>1085</v>
      </c>
      <c r="J50" s="158">
        <f>-1.02*(Logic!$D$131)</f>
        <v>-1.0506</v>
      </c>
      <c r="L50" s="92"/>
      <c r="S50" s="121" t="s">
        <v>1135</v>
      </c>
      <c r="T50" s="158">
        <f>226.6746*(Logic!$D$131)</f>
        <v>233.47483800000001</v>
      </c>
      <c r="AC50" s="136">
        <v>88000052</v>
      </c>
      <c r="AD50" s="158">
        <f>0.357*(Logic!$D$131)</f>
        <v>0.36770999999999998</v>
      </c>
      <c r="AE50" s="127" t="s">
        <v>980</v>
      </c>
      <c r="AN50" s="127">
        <v>91707220</v>
      </c>
      <c r="AO50" s="127" t="s">
        <v>1198</v>
      </c>
      <c r="AP50" s="158">
        <f>383.2038*(Logic!$D$131)</f>
        <v>394.69991400000004</v>
      </c>
    </row>
    <row r="51" spans="1:42">
      <c r="A51" s="121" t="s">
        <v>495</v>
      </c>
      <c r="B51" s="121" t="s">
        <v>496</v>
      </c>
      <c r="C51" s="121" t="s">
        <v>495</v>
      </c>
      <c r="D51" s="158">
        <f>5.3754*(Logic!$D$131)</f>
        <v>5.5366619999999998</v>
      </c>
      <c r="F51" s="121" t="s">
        <v>685</v>
      </c>
      <c r="G51" s="158">
        <f>86.2818*(Logic!$D$131)</f>
        <v>88.870254000000003</v>
      </c>
      <c r="I51" s="121" t="s">
        <v>1086</v>
      </c>
      <c r="J51" s="158">
        <f>-0.6834*(Logic!$D$131)</f>
        <v>-0.70390200000000003</v>
      </c>
      <c r="L51" s="92"/>
      <c r="S51" s="121" t="s">
        <v>1136</v>
      </c>
      <c r="T51" s="158">
        <f>247.758*(Logic!$D$131)</f>
        <v>255.19074000000001</v>
      </c>
      <c r="AC51" s="136">
        <v>88000053</v>
      </c>
      <c r="AD51" s="158">
        <f>0.357*(Logic!$D$131)</f>
        <v>0.36770999999999998</v>
      </c>
      <c r="AE51" s="127" t="s">
        <v>981</v>
      </c>
      <c r="AN51" s="127">
        <v>95047393</v>
      </c>
      <c r="AO51" s="127" t="s">
        <v>1199</v>
      </c>
      <c r="AP51" s="158">
        <f>163.6998*(Logic!$D$131)</f>
        <v>168.61079400000003</v>
      </c>
    </row>
    <row r="52" spans="1:42">
      <c r="A52" s="121" t="s">
        <v>1010</v>
      </c>
      <c r="B52" s="121" t="s">
        <v>493</v>
      </c>
      <c r="C52" s="121" t="s">
        <v>1010</v>
      </c>
      <c r="D52" s="158">
        <f>12.495*(Logic!$D$131)</f>
        <v>12.86985</v>
      </c>
      <c r="F52" s="121" t="s">
        <v>486</v>
      </c>
      <c r="G52" s="158">
        <f>86.2818*(Logic!$D$131)</f>
        <v>88.870254000000003</v>
      </c>
      <c r="I52" s="123" t="s">
        <v>1087</v>
      </c>
      <c r="J52" s="158">
        <f>-0.357*(Logic!$D$131)</f>
        <v>-0.36770999999999998</v>
      </c>
      <c r="L52" s="92"/>
      <c r="S52" s="121" t="s">
        <v>1137</v>
      </c>
      <c r="T52" s="158">
        <f>241.5462*(Logic!$D$131)</f>
        <v>248.792586</v>
      </c>
      <c r="AC52" s="136">
        <v>88000054</v>
      </c>
      <c r="AD52" s="158">
        <f>0.357*(Logic!$D$131)</f>
        <v>0.36770999999999998</v>
      </c>
      <c r="AE52" s="127" t="s">
        <v>982</v>
      </c>
      <c r="AN52" s="127">
        <v>31210408</v>
      </c>
      <c r="AO52" s="127" t="s">
        <v>1200</v>
      </c>
      <c r="AP52" s="158">
        <f>0.714*(Logic!$D$131)</f>
        <v>0.73541999999999996</v>
      </c>
    </row>
    <row r="53" spans="1:42">
      <c r="A53" s="121" t="s">
        <v>489</v>
      </c>
      <c r="B53" s="121" t="s">
        <v>490</v>
      </c>
      <c r="C53" s="121" t="s">
        <v>489</v>
      </c>
      <c r="D53" s="158">
        <f>1.4076*(Logic!$D$131)</f>
        <v>1.4498279999999999</v>
      </c>
      <c r="F53" s="121" t="s">
        <v>686</v>
      </c>
      <c r="G53" s="158">
        <f>95.5128*(Logic!$D$131)</f>
        <v>98.378184000000005</v>
      </c>
      <c r="I53" s="123" t="s">
        <v>1088</v>
      </c>
      <c r="J53" s="158">
        <f>0*(Logic!$D$131)</f>
        <v>0</v>
      </c>
      <c r="L53" s="92"/>
      <c r="S53" s="121" t="s">
        <v>1138</v>
      </c>
      <c r="T53" s="158">
        <f>262.6194*(Logic!$D$131)</f>
        <v>270.49798199999998</v>
      </c>
      <c r="AC53" s="136">
        <v>88000055</v>
      </c>
      <c r="AD53" s="158">
        <f>0.357*(Logic!$D$131)</f>
        <v>0.36770999999999998</v>
      </c>
      <c r="AE53" s="127" t="s">
        <v>983</v>
      </c>
      <c r="AN53" s="127">
        <v>91707243</v>
      </c>
      <c r="AO53" s="127" t="s">
        <v>1201</v>
      </c>
      <c r="AP53" s="158">
        <f>469.0164*(Logic!$D$131)</f>
        <v>483.08689199999998</v>
      </c>
    </row>
    <row r="54" spans="1:42">
      <c r="A54" s="121" t="s">
        <v>487</v>
      </c>
      <c r="B54" s="121" t="s">
        <v>488</v>
      </c>
      <c r="C54" s="121" t="s">
        <v>487</v>
      </c>
      <c r="D54" s="158">
        <f>69.3702*(Logic!$D$131)</f>
        <v>71.451306000000002</v>
      </c>
      <c r="F54" s="121" t="s">
        <v>481</v>
      </c>
      <c r="G54" s="158">
        <f>95.5128*(Logic!$D$131)</f>
        <v>98.378184000000005</v>
      </c>
      <c r="I54" s="121" t="s">
        <v>1089</v>
      </c>
      <c r="J54" s="158">
        <f>1.1934*(Logic!$D$131)</f>
        <v>1.2292020000000001</v>
      </c>
      <c r="L54" s="92"/>
      <c r="S54" s="121" t="s">
        <v>1139</v>
      </c>
      <c r="T54" s="158">
        <f>362.6916*(Logic!$D$131)</f>
        <v>373.57234799999998</v>
      </c>
      <c r="AC54" s="136">
        <v>88000056</v>
      </c>
      <c r="AD54" s="158">
        <f>0.357*(Logic!$D$131)</f>
        <v>0.36770999999999998</v>
      </c>
      <c r="AE54" s="127" t="s">
        <v>984</v>
      </c>
      <c r="AN54" s="127">
        <v>90216177</v>
      </c>
      <c r="AO54" s="127" t="s">
        <v>1202</v>
      </c>
      <c r="AP54" s="158">
        <f>77.8668*(Logic!$D$131)</f>
        <v>80.202804</v>
      </c>
    </row>
    <row r="55" spans="1:42">
      <c r="A55" s="121" t="s">
        <v>484</v>
      </c>
      <c r="B55" s="121" t="s">
        <v>485</v>
      </c>
      <c r="C55" s="121" t="s">
        <v>484</v>
      </c>
      <c r="D55" s="158">
        <f>55.692*(Logic!$D$131)</f>
        <v>57.362760000000002</v>
      </c>
      <c r="F55" s="121" t="s">
        <v>687</v>
      </c>
      <c r="G55" s="158">
        <f>104.8458*(Logic!$D$131)</f>
        <v>107.991174</v>
      </c>
      <c r="I55" s="121" t="s">
        <v>1090</v>
      </c>
      <c r="J55" s="158">
        <f>-1.2444*(Logic!$D$131)</f>
        <v>-1.2817319999999999</v>
      </c>
      <c r="L55" s="92"/>
      <c r="S55" s="121" t="s">
        <v>1140</v>
      </c>
      <c r="T55" s="158">
        <f>396.372*(Logic!$D$131)</f>
        <v>408.26316000000003</v>
      </c>
      <c r="AC55" s="136">
        <v>88000057</v>
      </c>
      <c r="AD55" s="158">
        <f>0.459*(Logic!$D$131)</f>
        <v>0.47277000000000002</v>
      </c>
      <c r="AE55" s="127" t="s">
        <v>985</v>
      </c>
      <c r="AN55" s="127">
        <v>90543141</v>
      </c>
      <c r="AO55" s="127" t="s">
        <v>1203</v>
      </c>
      <c r="AP55" s="158">
        <f>42.9726*(Logic!$D$131)</f>
        <v>44.261778</v>
      </c>
    </row>
    <row r="56" spans="1:42">
      <c r="A56" s="121" t="s">
        <v>482</v>
      </c>
      <c r="B56" s="121" t="s">
        <v>483</v>
      </c>
      <c r="C56" s="121" t="s">
        <v>482</v>
      </c>
      <c r="D56" s="158">
        <f>94.809*(Logic!$D$131)</f>
        <v>97.653270000000006</v>
      </c>
      <c r="F56" s="121" t="s">
        <v>477</v>
      </c>
      <c r="G56" s="158">
        <f>104.8458*(Logic!$D$131)</f>
        <v>107.991174</v>
      </c>
      <c r="I56" s="121" t="s">
        <v>1091</v>
      </c>
      <c r="J56" s="158">
        <f>-0.8976*(Logic!$D$131)</f>
        <v>-0.92452800000000002</v>
      </c>
      <c r="L56" s="92"/>
      <c r="S56" s="121" t="s">
        <v>1141</v>
      </c>
      <c r="T56" s="158">
        <f>386.478*(Logic!$D$131)</f>
        <v>398.07234</v>
      </c>
      <c r="AC56" s="136">
        <v>88000058</v>
      </c>
      <c r="AD56" s="158">
        <f>0.459*(Logic!$D$131)</f>
        <v>0.47277000000000002</v>
      </c>
      <c r="AE56" s="127" t="s">
        <v>986</v>
      </c>
      <c r="AN56" s="127">
        <v>91535070</v>
      </c>
      <c r="AO56" s="127" t="s">
        <v>1204</v>
      </c>
      <c r="AP56" s="158">
        <f>17.1156*(Logic!$D$131)</f>
        <v>17.629068</v>
      </c>
    </row>
    <row r="57" spans="1:42">
      <c r="A57" s="121" t="s">
        <v>479</v>
      </c>
      <c r="B57" s="121" t="s">
        <v>480</v>
      </c>
      <c r="C57" s="121" t="s">
        <v>479</v>
      </c>
      <c r="D57" s="158">
        <f>86.0472*(Logic!$D$131)</f>
        <v>88.628616000000008</v>
      </c>
      <c r="F57" s="121" t="s">
        <v>688</v>
      </c>
      <c r="G57" s="158">
        <f>114.0666*(Logic!$D$131)</f>
        <v>117.488598</v>
      </c>
      <c r="I57" s="121" t="s">
        <v>1092</v>
      </c>
      <c r="J57" s="158">
        <f>-0.5814*(Logic!$D$131)</f>
        <v>-0.5988420000000001</v>
      </c>
      <c r="L57" s="92"/>
      <c r="S57" s="121" t="s">
        <v>1142</v>
      </c>
      <c r="T57" s="158">
        <f>420.1686*(Logic!$D$131)</f>
        <v>432.77365800000001</v>
      </c>
      <c r="AC57" s="136">
        <v>88000059</v>
      </c>
      <c r="AD57" s="158">
        <f>0.459*(Logic!$D$131)</f>
        <v>0.47277000000000002</v>
      </c>
      <c r="AE57" s="127" t="s">
        <v>987</v>
      </c>
      <c r="AN57" s="127">
        <v>91535100</v>
      </c>
      <c r="AO57" s="127" t="s">
        <v>1205</v>
      </c>
      <c r="AP57" s="158">
        <f>33.3948*(Logic!$D$131)</f>
        <v>34.396643999999995</v>
      </c>
    </row>
    <row r="58" spans="1:42">
      <c r="A58" s="91" t="s">
        <v>1353</v>
      </c>
      <c r="B58" s="121" t="s">
        <v>478</v>
      </c>
      <c r="C58" s="91" t="s">
        <v>1353</v>
      </c>
      <c r="D58" s="158">
        <f>12.954*(Logic!$D$131)</f>
        <v>13.34262</v>
      </c>
      <c r="F58" s="121" t="s">
        <v>883</v>
      </c>
      <c r="G58" s="158">
        <f>114.0666*(Logic!$D$131)</f>
        <v>117.488598</v>
      </c>
      <c r="I58" s="121" t="s">
        <v>1093</v>
      </c>
      <c r="J58" s="158">
        <f>-0.2448*(Logic!$D$131)</f>
        <v>-0.25214399999999998</v>
      </c>
      <c r="L58" s="92"/>
      <c r="S58" s="134" t="s">
        <v>1025</v>
      </c>
      <c r="T58" s="158">
        <f>4.4574*(Logic!$D$131)</f>
        <v>4.5911219999999995</v>
      </c>
      <c r="AC58" s="136">
        <v>88000060</v>
      </c>
      <c r="AD58" s="158">
        <f>0.459*(Logic!$D$131)</f>
        <v>0.47277000000000002</v>
      </c>
      <c r="AE58" s="127" t="s">
        <v>988</v>
      </c>
      <c r="AN58" s="127">
        <v>91535101</v>
      </c>
      <c r="AO58" s="127" t="s">
        <v>1206</v>
      </c>
      <c r="AP58" s="158">
        <f>33.3948*(Logic!$D$131)</f>
        <v>34.396643999999995</v>
      </c>
    </row>
    <row r="59" spans="1:42">
      <c r="A59" s="91" t="s">
        <v>1354</v>
      </c>
      <c r="B59" s="121" t="s">
        <v>476</v>
      </c>
      <c r="C59" s="91" t="s">
        <v>1354</v>
      </c>
      <c r="D59" s="158">
        <f>6.3036*(Logic!$D$131)</f>
        <v>6.4927080000000004</v>
      </c>
      <c r="F59" s="121" t="s">
        <v>689</v>
      </c>
      <c r="G59" s="158">
        <f>123.4098*(Logic!$D$131)</f>
        <v>127.11209400000001</v>
      </c>
      <c r="I59" s="121" t="s">
        <v>1094</v>
      </c>
      <c r="J59" s="158">
        <f>0.969*(Logic!$D$131)</f>
        <v>0.99807000000000001</v>
      </c>
      <c r="L59" s="92"/>
      <c r="S59" s="134" t="s">
        <v>1147</v>
      </c>
      <c r="T59" s="158">
        <f>249.339*(Logic!$D$131)</f>
        <v>256.81916999999999</v>
      </c>
      <c r="AC59" s="136">
        <v>88000061</v>
      </c>
      <c r="AD59" s="158">
        <f>0.5916*(Logic!$D$131)</f>
        <v>0.609348</v>
      </c>
      <c r="AE59" s="127" t="s">
        <v>989</v>
      </c>
      <c r="AN59" s="127">
        <v>91535103</v>
      </c>
      <c r="AO59" s="127" t="s">
        <v>1207</v>
      </c>
      <c r="AP59" s="158">
        <f>39.6984*(Logic!$D$131)</f>
        <v>40.889352000000002</v>
      </c>
    </row>
    <row r="60" spans="1:42">
      <c r="A60" s="121" t="s">
        <v>474</v>
      </c>
      <c r="B60" s="121" t="s">
        <v>475</v>
      </c>
      <c r="C60" s="121" t="s">
        <v>474</v>
      </c>
      <c r="D60" s="158">
        <f>8.874*(Logic!$D$131)</f>
        <v>9.1402200000000011</v>
      </c>
      <c r="F60" s="121" t="s">
        <v>470</v>
      </c>
      <c r="G60" s="158">
        <f>141.984*(Logic!$D$131)</f>
        <v>146.24352000000002</v>
      </c>
      <c r="I60" s="121" t="s">
        <v>1095</v>
      </c>
      <c r="J60" s="158">
        <f>1.8156*(Logic!$D$131)</f>
        <v>1.8700680000000001</v>
      </c>
      <c r="S60" s="134" t="s">
        <v>1148</v>
      </c>
      <c r="T60" s="158">
        <f>270.4122*(Logic!$D$131)</f>
        <v>278.52456599999999</v>
      </c>
      <c r="AC60" s="136">
        <v>88000062</v>
      </c>
      <c r="AD60" s="158">
        <f>0.5916*(Logic!$D$131)</f>
        <v>0.609348</v>
      </c>
      <c r="AE60" s="127" t="s">
        <v>990</v>
      </c>
      <c r="AN60" s="127">
        <v>96300237</v>
      </c>
      <c r="AO60" s="127" t="s">
        <v>1208</v>
      </c>
      <c r="AP60" s="158">
        <f>16.2384*(Logic!$D$131)</f>
        <v>16.725552</v>
      </c>
    </row>
    <row r="61" spans="1:42">
      <c r="A61" s="121" t="s">
        <v>472</v>
      </c>
      <c r="B61" s="121" t="s">
        <v>473</v>
      </c>
      <c r="C61" s="121" t="s">
        <v>472</v>
      </c>
      <c r="D61" s="158">
        <f>8.874*(Logic!$D$131)</f>
        <v>9.1402200000000011</v>
      </c>
      <c r="F61" s="121" t="s">
        <v>49</v>
      </c>
      <c r="G61" s="158">
        <f>0*(Logic!$D$131)</f>
        <v>0</v>
      </c>
      <c r="I61" s="121" t="s">
        <v>1096</v>
      </c>
      <c r="J61" s="158">
        <f>1.581*(Logic!$D$131)</f>
        <v>1.62843</v>
      </c>
      <c r="S61" s="134" t="s">
        <v>1143</v>
      </c>
      <c r="T61" s="158">
        <f>385.356*(Logic!$D$131)</f>
        <v>396.91667999999999</v>
      </c>
      <c r="AC61" s="136">
        <v>88000063</v>
      </c>
      <c r="AD61" s="158">
        <f>0.5916*(Logic!$D$131)</f>
        <v>0.609348</v>
      </c>
      <c r="AE61" s="127" t="s">
        <v>991</v>
      </c>
      <c r="AN61" s="127">
        <v>90543421</v>
      </c>
      <c r="AO61" s="127" t="s">
        <v>1209</v>
      </c>
      <c r="AP61" s="158">
        <f>44.37*(Logic!$D$131)</f>
        <v>45.701099999999997</v>
      </c>
    </row>
    <row r="62" spans="1:42">
      <c r="A62" s="121" t="s">
        <v>47</v>
      </c>
      <c r="B62" s="121" t="s">
        <v>471</v>
      </c>
      <c r="C62" s="121" t="s">
        <v>47</v>
      </c>
      <c r="D62" s="158">
        <f>6.1812*(Logic!$D$131)</f>
        <v>6.3666359999999997</v>
      </c>
      <c r="F62" s="121" t="s">
        <v>50</v>
      </c>
      <c r="G62" s="158">
        <f>0*(Logic!$D$131)</f>
        <v>0</v>
      </c>
      <c r="I62" s="121" t="s">
        <v>1097</v>
      </c>
      <c r="J62" s="158">
        <f>-1.3668*(Logic!$D$131)</f>
        <v>-1.4078040000000001</v>
      </c>
      <c r="S62" s="134" t="s">
        <v>1144</v>
      </c>
      <c r="T62" s="158">
        <f>419.0568*(Logic!$D$131)</f>
        <v>431.62850400000002</v>
      </c>
      <c r="AC62" s="136">
        <v>88000064</v>
      </c>
      <c r="AD62" s="158">
        <f>0.5916*(Logic!$D$131)</f>
        <v>0.609348</v>
      </c>
      <c r="AE62" s="127" t="s">
        <v>992</v>
      </c>
      <c r="AN62" s="127">
        <v>91708756</v>
      </c>
      <c r="AO62" s="127" t="s">
        <v>1210</v>
      </c>
      <c r="AP62" s="158">
        <f>48.348*(Logic!$D$131)</f>
        <v>49.798439999999999</v>
      </c>
    </row>
    <row r="63" spans="1:42">
      <c r="A63" s="121" t="s">
        <v>48</v>
      </c>
      <c r="B63" s="121" t="s">
        <v>469</v>
      </c>
      <c r="C63" s="121" t="s">
        <v>48</v>
      </c>
      <c r="D63" s="158">
        <f>14.7186*(Logic!$D$131)</f>
        <v>15.160158000000001</v>
      </c>
      <c r="F63" s="121" t="s">
        <v>51</v>
      </c>
      <c r="G63" s="158">
        <f>1.2852*(Logic!$D$131)</f>
        <v>1.3237559999999999</v>
      </c>
      <c r="I63" s="148" t="s">
        <v>1105</v>
      </c>
      <c r="J63" s="158">
        <f>-14.0148*(Logic!$D$131)</f>
        <v>-14.435243999999999</v>
      </c>
      <c r="S63" s="134" t="s">
        <v>1149</v>
      </c>
      <c r="T63" s="158">
        <f>264.2208*(Logic!$D$131)</f>
        <v>272.147424</v>
      </c>
      <c r="AC63" s="136">
        <v>88000065</v>
      </c>
      <c r="AD63" s="158">
        <f>0.5916*(Logic!$D$131)</f>
        <v>0.609348</v>
      </c>
      <c r="AE63" s="127" t="s">
        <v>993</v>
      </c>
      <c r="AN63" s="127">
        <v>91708767</v>
      </c>
      <c r="AO63" s="127" t="s">
        <v>1211</v>
      </c>
      <c r="AP63" s="158">
        <f>8.2926*(Logic!$D$131)</f>
        <v>8.5413779999999999</v>
      </c>
    </row>
    <row r="64" spans="1:42">
      <c r="A64" s="121" t="s">
        <v>467</v>
      </c>
      <c r="B64" s="121" t="s">
        <v>468</v>
      </c>
      <c r="C64" s="121" t="s">
        <v>467</v>
      </c>
      <c r="D64" s="158">
        <f>14.0148*(Logic!$D$131)</f>
        <v>14.435243999999999</v>
      </c>
      <c r="F64" s="121" t="s">
        <v>52</v>
      </c>
      <c r="G64" s="158">
        <f>2.6826*(Logic!$D$131)</f>
        <v>2.7630780000000001</v>
      </c>
      <c r="I64" s="148" t="s">
        <v>1104</v>
      </c>
      <c r="J64" s="158">
        <f>-18.6762*(Logic!$D$131)</f>
        <v>-19.236486000000003</v>
      </c>
      <c r="S64" s="134" t="s">
        <v>1150</v>
      </c>
      <c r="T64" s="158">
        <f>285.2736*(Logic!$D$131)</f>
        <v>293.83180799999997</v>
      </c>
      <c r="AC64" s="136">
        <v>88000066</v>
      </c>
      <c r="AD64" s="158">
        <f>0.5916*(Logic!$D$131)</f>
        <v>0.609348</v>
      </c>
      <c r="AE64" s="127" t="s">
        <v>994</v>
      </c>
      <c r="AN64" s="127">
        <v>32411200</v>
      </c>
      <c r="AO64" s="127" t="s">
        <v>1212</v>
      </c>
      <c r="AP64" s="158">
        <f>0.459*(Logic!$D$131)</f>
        <v>0.47277000000000002</v>
      </c>
    </row>
    <row r="65" spans="1:42">
      <c r="A65" s="121" t="s">
        <v>465</v>
      </c>
      <c r="B65" s="121" t="s">
        <v>466</v>
      </c>
      <c r="C65" s="121" t="s">
        <v>465</v>
      </c>
      <c r="D65" s="158">
        <f>8.874*(Logic!$D$131)</f>
        <v>9.1402200000000011</v>
      </c>
      <c r="F65" s="121" t="s">
        <v>53</v>
      </c>
      <c r="G65" s="158">
        <f>3.978*(Logic!$D$131)</f>
        <v>4.09734</v>
      </c>
      <c r="S65" s="134" t="s">
        <v>1145</v>
      </c>
      <c r="T65" s="158">
        <f>409.1322*(Logic!$D$131)</f>
        <v>421.40616600000004</v>
      </c>
      <c r="AC65" s="142">
        <v>88000067</v>
      </c>
      <c r="AD65" s="158">
        <f>0.5916*(Logic!$D$131)</f>
        <v>0.609348</v>
      </c>
      <c r="AE65" s="141" t="s">
        <v>995</v>
      </c>
      <c r="AN65" s="127">
        <v>33610808</v>
      </c>
      <c r="AO65" s="127" t="s">
        <v>1213</v>
      </c>
      <c r="AP65" s="158">
        <f>0.102*(Logic!$D$131)</f>
        <v>0.10506</v>
      </c>
    </row>
    <row r="66" spans="1:42">
      <c r="A66" s="121" t="s">
        <v>463</v>
      </c>
      <c r="B66" s="121" t="s">
        <v>464</v>
      </c>
      <c r="C66" s="121" t="s">
        <v>463</v>
      </c>
      <c r="D66" s="158">
        <f>28.611*(Logic!$D$131)</f>
        <v>29.469330000000003</v>
      </c>
      <c r="F66" s="121" t="s">
        <v>54</v>
      </c>
      <c r="G66" s="158">
        <f>7.9356*(Logic!$D$131)</f>
        <v>8.173668000000001</v>
      </c>
      <c r="S66" s="134" t="s">
        <v>1146</v>
      </c>
      <c r="T66" s="158">
        <f>442.8534*(Logic!$D$131)</f>
        <v>456.13900200000006</v>
      </c>
      <c r="AD66" s="122"/>
      <c r="AN66" s="127">
        <v>83300834</v>
      </c>
      <c r="AO66" s="127" t="s">
        <v>1214</v>
      </c>
      <c r="AP66" s="158">
        <f>70.8798*(Logic!$D$131)</f>
        <v>73.006194000000008</v>
      </c>
    </row>
    <row r="67" spans="1:42">
      <c r="A67" s="121" t="s">
        <v>461</v>
      </c>
      <c r="B67" s="121" t="s">
        <v>462</v>
      </c>
      <c r="C67" s="121" t="s">
        <v>461</v>
      </c>
      <c r="D67" s="158">
        <f>24.531*(Logic!$D$131)</f>
        <v>25.266929999999999</v>
      </c>
      <c r="F67" s="121" t="s">
        <v>55</v>
      </c>
      <c r="G67" s="158">
        <f>10.6182*(Logic!$D$131)</f>
        <v>10.936745999999999</v>
      </c>
      <c r="S67" s="184" t="s">
        <v>860</v>
      </c>
      <c r="T67" s="184"/>
      <c r="AD67" s="122"/>
      <c r="AN67" s="127">
        <v>83304025</v>
      </c>
      <c r="AO67" s="127" t="s">
        <v>1215</v>
      </c>
      <c r="AP67" s="158">
        <f>30.7122*(Logic!$D$131)</f>
        <v>31.633566000000002</v>
      </c>
    </row>
    <row r="68" spans="1:42">
      <c r="A68" s="121" t="s">
        <v>459</v>
      </c>
      <c r="B68" s="121" t="s">
        <v>460</v>
      </c>
      <c r="C68" s="121" t="s">
        <v>459</v>
      </c>
      <c r="D68" s="158">
        <f>11.0976*(Logic!$D$131)</f>
        <v>11.430528000000001</v>
      </c>
      <c r="F68" s="121" t="s">
        <v>56</v>
      </c>
      <c r="G68" s="158">
        <f>13.3008*(Logic!$D$131)</f>
        <v>13.699824000000001</v>
      </c>
      <c r="S68" s="135" t="s">
        <v>862</v>
      </c>
      <c r="T68" s="158">
        <f>1.7646*(Logic!$D$131)</f>
        <v>1.8175380000000001</v>
      </c>
      <c r="AD68" s="122"/>
      <c r="AN68" s="127">
        <v>90216184</v>
      </c>
      <c r="AO68" s="127" t="s">
        <v>1216</v>
      </c>
      <c r="AP68" s="158">
        <f>38.4132*(Logic!$D$131)</f>
        <v>39.565596000000006</v>
      </c>
    </row>
    <row r="69" spans="1:42">
      <c r="A69" s="121" t="s">
        <v>457</v>
      </c>
      <c r="B69" s="121" t="s">
        <v>458</v>
      </c>
      <c r="C69" s="121" t="s">
        <v>457</v>
      </c>
      <c r="D69" s="158">
        <f>19.1556*(Logic!$D$131)</f>
        <v>19.730267999999999</v>
      </c>
      <c r="F69" s="121" t="s">
        <v>452</v>
      </c>
      <c r="G69" s="158">
        <f>14.5962*(Logic!$D$131)</f>
        <v>15.034086</v>
      </c>
      <c r="AD69" s="122"/>
      <c r="AN69" s="127">
        <v>90543566</v>
      </c>
      <c r="AO69" s="127" t="s">
        <v>1217</v>
      </c>
      <c r="AP69" s="158">
        <f>81.8448*(Logic!$D$131)</f>
        <v>84.300144000000003</v>
      </c>
    </row>
    <row r="70" spans="1:42">
      <c r="A70" s="121" t="s">
        <v>455</v>
      </c>
      <c r="B70" s="121" t="s">
        <v>456</v>
      </c>
      <c r="C70" s="121" t="s">
        <v>455</v>
      </c>
      <c r="D70" s="158">
        <f>8.874*(Logic!$D$131)</f>
        <v>9.1402200000000011</v>
      </c>
      <c r="F70" s="121" t="s">
        <v>57</v>
      </c>
      <c r="G70" s="158">
        <f>18.564*(Logic!$D$131)</f>
        <v>19.120920000000002</v>
      </c>
      <c r="T70" s="122"/>
      <c r="AD70" s="122"/>
      <c r="AN70" s="127">
        <v>91535003</v>
      </c>
      <c r="AO70" s="127" t="s">
        <v>1218</v>
      </c>
      <c r="AP70" s="158">
        <f>70.8798*(Logic!$D$131)</f>
        <v>73.006194000000008</v>
      </c>
    </row>
    <row r="71" spans="1:42">
      <c r="A71" s="121" t="s">
        <v>453</v>
      </c>
      <c r="B71" s="121" t="s">
        <v>454</v>
      </c>
      <c r="C71" s="121" t="s">
        <v>453</v>
      </c>
      <c r="D71" s="158">
        <f>11.4342*(Logic!$D$131)</f>
        <v>11.777226000000001</v>
      </c>
      <c r="F71" s="121" t="s">
        <v>1005</v>
      </c>
      <c r="G71" s="158">
        <f>21.2568*(Logic!$D$131)</f>
        <v>21.894503999999998</v>
      </c>
      <c r="T71" s="122"/>
      <c r="AD71" s="122"/>
      <c r="AN71" s="127">
        <v>91535052</v>
      </c>
      <c r="AO71" s="127" t="s">
        <v>1219</v>
      </c>
      <c r="AP71" s="158">
        <f>56.1612*(Logic!$D$131)</f>
        <v>57.846036000000005</v>
      </c>
    </row>
    <row r="72" spans="1:42">
      <c r="A72" s="121" t="s">
        <v>450</v>
      </c>
      <c r="B72" s="121" t="s">
        <v>451</v>
      </c>
      <c r="C72" s="121" t="s">
        <v>450</v>
      </c>
      <c r="D72" s="158">
        <f>21.8382*(Logic!$D$131)</f>
        <v>22.493346000000003</v>
      </c>
      <c r="F72" s="121" t="s">
        <v>58</v>
      </c>
      <c r="G72" s="158">
        <f>23.9292*(Logic!$D$131)</f>
        <v>24.647076000000002</v>
      </c>
      <c r="AD72" s="122"/>
      <c r="AN72" s="127">
        <v>91535075</v>
      </c>
      <c r="AO72" s="127" t="s">
        <v>1220</v>
      </c>
      <c r="AP72" s="158">
        <f>15.7794*(Logic!$D$131)</f>
        <v>16.252782</v>
      </c>
    </row>
    <row r="73" spans="1:42">
      <c r="A73" s="121" t="s">
        <v>448</v>
      </c>
      <c r="B73" s="121" t="s">
        <v>449</v>
      </c>
      <c r="C73" s="121" t="s">
        <v>448</v>
      </c>
      <c r="D73" s="158">
        <f>8.874*(Logic!$D$131)</f>
        <v>9.1402200000000011</v>
      </c>
      <c r="F73" s="121" t="s">
        <v>1006</v>
      </c>
      <c r="G73" s="158">
        <f>26.4996*(Logic!$D$131)</f>
        <v>27.294588000000001</v>
      </c>
      <c r="AD73" s="122"/>
      <c r="AN73" s="127">
        <v>91707222</v>
      </c>
      <c r="AO73" s="127" t="s">
        <v>1221</v>
      </c>
      <c r="AP73" s="158">
        <f>154.377*(Logic!$D$131)</f>
        <v>159.00831000000002</v>
      </c>
    </row>
    <row r="74" spans="1:42">
      <c r="A74" s="121" t="s">
        <v>446</v>
      </c>
      <c r="B74" s="121" t="s">
        <v>447</v>
      </c>
      <c r="C74" s="121" t="s">
        <v>446</v>
      </c>
      <c r="D74" s="158">
        <f>16.5954*(Logic!$D$131)</f>
        <v>17.093262000000003</v>
      </c>
      <c r="F74" s="121" t="s">
        <v>59</v>
      </c>
      <c r="G74" s="158">
        <f>29.1924*(Logic!$D$131)</f>
        <v>30.068172000000001</v>
      </c>
      <c r="T74" s="122"/>
      <c r="AD74" s="122"/>
      <c r="AN74" s="127">
        <v>91707446</v>
      </c>
      <c r="AO74" s="127" t="s">
        <v>1222</v>
      </c>
      <c r="AP74" s="158">
        <f>72.1548*(Logic!$D$131)</f>
        <v>74.31944399999999</v>
      </c>
    </row>
    <row r="75" spans="1:42">
      <c r="A75" s="121" t="s">
        <v>444</v>
      </c>
      <c r="B75" s="121" t="s">
        <v>445</v>
      </c>
      <c r="C75" s="121" t="s">
        <v>444</v>
      </c>
      <c r="D75" s="158">
        <f>8.874*(Logic!$D$131)</f>
        <v>9.1402200000000011</v>
      </c>
      <c r="F75" s="121" t="s">
        <v>865</v>
      </c>
      <c r="G75" s="158">
        <f>31.8648*(Logic!$D$131)</f>
        <v>32.820743999999998</v>
      </c>
      <c r="AD75" s="122"/>
      <c r="AN75" s="127"/>
      <c r="AO75" s="127"/>
      <c r="AP75" s="149"/>
    </row>
    <row r="76" spans="1:42">
      <c r="A76" s="121" t="s">
        <v>442</v>
      </c>
      <c r="B76" s="121" t="s">
        <v>443</v>
      </c>
      <c r="C76" s="121" t="s">
        <v>442</v>
      </c>
      <c r="D76" s="158">
        <f>35.3838*(Logic!$D$131)</f>
        <v>36.445314000000003</v>
      </c>
      <c r="F76" s="121" t="s">
        <v>60</v>
      </c>
      <c r="G76" s="158">
        <f>34.5576*(Logic!$D$131)</f>
        <v>35.594328000000004</v>
      </c>
      <c r="AD76" s="122"/>
      <c r="AN76" s="127">
        <v>91535004</v>
      </c>
      <c r="AO76" s="127" t="s">
        <v>1223</v>
      </c>
      <c r="AP76" s="158">
        <f>65.9736*(Logic!$D$131)</f>
        <v>67.952808000000005</v>
      </c>
    </row>
    <row r="77" spans="1:42">
      <c r="A77" s="121" t="s">
        <v>72</v>
      </c>
      <c r="B77" s="121" t="s">
        <v>441</v>
      </c>
      <c r="C77" s="121" t="s">
        <v>72</v>
      </c>
      <c r="D77" s="158">
        <f>5.7222*(Logic!$D$131)</f>
        <v>5.893866</v>
      </c>
      <c r="F77" s="121" t="s">
        <v>1007</v>
      </c>
      <c r="G77" s="158">
        <f>37.128*(Logic!$D$131)</f>
        <v>38.241840000000003</v>
      </c>
      <c r="AD77" s="122"/>
      <c r="AN77" s="127">
        <v>91535072</v>
      </c>
      <c r="AO77" s="127" t="s">
        <v>1224</v>
      </c>
      <c r="AP77" s="158">
        <f>23.3172*(Logic!$D$131)</f>
        <v>24.016715999999999</v>
      </c>
    </row>
    <row r="78" spans="1:42">
      <c r="A78" s="121" t="s">
        <v>73</v>
      </c>
      <c r="B78" s="121" t="s">
        <v>440</v>
      </c>
      <c r="C78" s="121" t="s">
        <v>73</v>
      </c>
      <c r="D78" s="158">
        <f>7.7112*(Logic!$D$131)</f>
        <v>7.9425359999999996</v>
      </c>
      <c r="F78" s="121" t="s">
        <v>1004</v>
      </c>
      <c r="G78" s="158">
        <f>39.8004*(Logic!$D$131)</f>
        <v>40.994412000000004</v>
      </c>
      <c r="AD78" s="122"/>
      <c r="AN78" s="127">
        <v>91707403</v>
      </c>
      <c r="AO78" s="127" t="s">
        <v>1225</v>
      </c>
      <c r="AP78" s="158">
        <f>284.3148*(Logic!$D$131)</f>
        <v>292.844244</v>
      </c>
    </row>
    <row r="79" spans="1:42">
      <c r="A79" s="121" t="s">
        <v>74</v>
      </c>
      <c r="B79" s="121" t="s">
        <v>439</v>
      </c>
      <c r="C79" s="121" t="s">
        <v>74</v>
      </c>
      <c r="D79" s="158">
        <f>5.8242*(Logic!$D$131)</f>
        <v>5.9989260000000009</v>
      </c>
      <c r="F79" s="121" t="s">
        <v>61</v>
      </c>
      <c r="G79" s="158">
        <f>45.0738*(Logic!$D$131)</f>
        <v>46.426014000000002</v>
      </c>
      <c r="AD79" s="122"/>
      <c r="AN79" s="127">
        <v>91707404</v>
      </c>
      <c r="AO79" s="127" t="s">
        <v>1226</v>
      </c>
      <c r="AP79" s="158">
        <f>255.9282*(Logic!$D$131)</f>
        <v>263.60604599999999</v>
      </c>
    </row>
    <row r="80" spans="1:42">
      <c r="A80" s="121" t="s">
        <v>75</v>
      </c>
      <c r="B80" s="121" t="s">
        <v>438</v>
      </c>
      <c r="C80" s="121" t="s">
        <v>75</v>
      </c>
      <c r="D80" s="158">
        <f>8.1906*(Logic!$D$131)</f>
        <v>8.436318</v>
      </c>
      <c r="F80" s="121" t="s">
        <v>62</v>
      </c>
      <c r="G80" s="158">
        <f>50.4492*(Logic!$D$131)</f>
        <v>51.962676000000002</v>
      </c>
      <c r="AD80" s="122"/>
      <c r="AN80" s="127">
        <v>91707731</v>
      </c>
      <c r="AO80" s="127" t="s">
        <v>1227</v>
      </c>
      <c r="AP80" s="158">
        <f>135.3234*(Logic!$D$131)</f>
        <v>139.38310200000001</v>
      </c>
    </row>
    <row r="81" spans="1:42">
      <c r="A81" s="121" t="s">
        <v>436</v>
      </c>
      <c r="B81" s="121" t="s">
        <v>437</v>
      </c>
      <c r="C81" s="121" t="s">
        <v>436</v>
      </c>
      <c r="D81" s="158">
        <f>7.7112*(Logic!$D$131)</f>
        <v>7.9425359999999996</v>
      </c>
      <c r="F81" s="121" t="s">
        <v>433</v>
      </c>
      <c r="G81" s="158">
        <f>69.7068*(Logic!$D$131)</f>
        <v>71.798004000000006</v>
      </c>
      <c r="AD81" s="122"/>
      <c r="AN81" s="127">
        <v>91707901</v>
      </c>
      <c r="AO81" s="127" t="s">
        <v>1228</v>
      </c>
      <c r="AP81" s="158">
        <f>65.8512*(Logic!$D$131)</f>
        <v>67.826736000000011</v>
      </c>
    </row>
    <row r="82" spans="1:42">
      <c r="A82" s="121" t="s">
        <v>892</v>
      </c>
      <c r="B82" s="121" t="s">
        <v>435</v>
      </c>
      <c r="C82" s="121" t="s">
        <v>892</v>
      </c>
      <c r="D82" s="158">
        <f>7.9356*(Logic!$D$131)</f>
        <v>8.173668000000001</v>
      </c>
      <c r="F82" s="121" t="s">
        <v>430</v>
      </c>
      <c r="G82" s="158">
        <f>75.5718*(Logic!$D$131)</f>
        <v>77.838954000000001</v>
      </c>
      <c r="AD82" s="122"/>
      <c r="AN82" s="127">
        <v>95047711</v>
      </c>
      <c r="AO82" s="127" t="s">
        <v>1229</v>
      </c>
      <c r="AP82" s="158">
        <f>0.714*(Logic!$D$131)</f>
        <v>0.73541999999999996</v>
      </c>
    </row>
    <row r="83" spans="1:42">
      <c r="A83" s="121" t="s">
        <v>76</v>
      </c>
      <c r="B83" s="121" t="s">
        <v>434</v>
      </c>
      <c r="C83" s="121" t="s">
        <v>76</v>
      </c>
      <c r="D83" s="158">
        <f>8.1906*(Logic!$D$131)</f>
        <v>8.436318</v>
      </c>
      <c r="F83" s="121" t="s">
        <v>428</v>
      </c>
      <c r="G83" s="158">
        <f>81.8652*(Logic!$D$131)</f>
        <v>84.321156000000002</v>
      </c>
      <c r="AD83" s="122"/>
      <c r="AN83" s="127">
        <v>51070295</v>
      </c>
      <c r="AO83" s="127" t="s">
        <v>1230</v>
      </c>
      <c r="AP83" s="158">
        <f>78.336*(Logic!$D$131)</f>
        <v>80.686080000000004</v>
      </c>
    </row>
    <row r="84" spans="1:42">
      <c r="A84" s="121" t="s">
        <v>431</v>
      </c>
      <c r="B84" s="121" t="s">
        <v>432</v>
      </c>
      <c r="C84" s="121" t="s">
        <v>431</v>
      </c>
      <c r="D84" s="158">
        <f>8.1906*(Logic!$D$131)</f>
        <v>8.436318</v>
      </c>
      <c r="F84" s="121" t="s">
        <v>63</v>
      </c>
      <c r="G84" s="158">
        <f>0*(Logic!$D$131)</f>
        <v>0</v>
      </c>
      <c r="AD84" s="122"/>
      <c r="AN84" s="127"/>
      <c r="AO84" s="127"/>
      <c r="AP84" s="149"/>
    </row>
    <row r="85" spans="1:42">
      <c r="A85" s="121" t="s">
        <v>1011</v>
      </c>
      <c r="B85" s="121" t="s">
        <v>429</v>
      </c>
      <c r="C85" s="121" t="s">
        <v>1011</v>
      </c>
      <c r="D85" s="158">
        <f>23.2458*(Logic!$D$131)</f>
        <v>23.943173999999999</v>
      </c>
      <c r="F85" s="121" t="s">
        <v>64</v>
      </c>
      <c r="G85" s="158">
        <f>0*(Logic!$D$131)</f>
        <v>0</v>
      </c>
      <c r="AD85" s="122"/>
      <c r="AN85" s="127">
        <v>90216171</v>
      </c>
      <c r="AO85" s="127" t="s">
        <v>1231</v>
      </c>
      <c r="AP85" s="158">
        <f>40.9734*(Logic!$D$131)</f>
        <v>42.202601999999999</v>
      </c>
    </row>
    <row r="86" spans="1:42">
      <c r="A86" s="121" t="s">
        <v>426</v>
      </c>
      <c r="B86" s="121" t="s">
        <v>427</v>
      </c>
      <c r="C86" s="121" t="s">
        <v>426</v>
      </c>
      <c r="D86" s="158">
        <f>83.1402*(Logic!$D$131)</f>
        <v>85.634405999999998</v>
      </c>
      <c r="F86" s="121" t="s">
        <v>65</v>
      </c>
      <c r="G86" s="158">
        <f>2.6826*(Logic!$D$131)</f>
        <v>2.7630780000000001</v>
      </c>
      <c r="AD86" s="122"/>
      <c r="AN86" s="127">
        <v>90216178</v>
      </c>
      <c r="AO86" s="127" t="s">
        <v>1232</v>
      </c>
      <c r="AP86" s="158">
        <f>13.0866*(Logic!$D$131)</f>
        <v>13.479198</v>
      </c>
    </row>
    <row r="87" spans="1:42">
      <c r="A87" s="121" t="s">
        <v>1012</v>
      </c>
      <c r="B87" s="121" t="s">
        <v>425</v>
      </c>
      <c r="C87" s="121" t="s">
        <v>1012</v>
      </c>
      <c r="D87" s="158">
        <f>5.4876*(Logic!$D$131)</f>
        <v>5.652228</v>
      </c>
      <c r="F87" s="121" t="s">
        <v>66</v>
      </c>
      <c r="G87" s="158">
        <f>5.2632*(Logic!$D$131)</f>
        <v>5.4210960000000004</v>
      </c>
      <c r="AD87" s="122"/>
      <c r="AN87" s="127">
        <v>91707401</v>
      </c>
      <c r="AO87" s="127" t="s">
        <v>1233</v>
      </c>
      <c r="AP87" s="158">
        <f>67.6158*(Logic!$D$131)</f>
        <v>69.644273999999996</v>
      </c>
    </row>
    <row r="88" spans="1:42">
      <c r="A88" s="121" t="s">
        <v>893</v>
      </c>
      <c r="B88" s="121" t="s">
        <v>894</v>
      </c>
      <c r="C88" s="121" t="s">
        <v>893</v>
      </c>
      <c r="D88" s="158">
        <f>13.7598*(Logic!$D$131)</f>
        <v>14.172594</v>
      </c>
      <c r="F88" s="121" t="s">
        <v>67</v>
      </c>
      <c r="G88" s="158">
        <f>20.553*(Logic!$D$131)</f>
        <v>21.169590000000003</v>
      </c>
      <c r="AD88" s="122"/>
      <c r="AN88" s="127">
        <v>91707853</v>
      </c>
      <c r="AO88" s="127" t="s">
        <v>1234</v>
      </c>
      <c r="AP88" s="158">
        <f>150.9702*(Logic!$D$131)</f>
        <v>155.49930600000002</v>
      </c>
    </row>
    <row r="89" spans="1:42">
      <c r="A89" s="121" t="s">
        <v>1013</v>
      </c>
      <c r="B89" s="121" t="s">
        <v>889</v>
      </c>
      <c r="C89" s="121" t="s">
        <v>1013</v>
      </c>
      <c r="D89" s="158">
        <f>147.1044*(Logic!$D$131)</f>
        <v>151.51753199999999</v>
      </c>
      <c r="F89" s="121" t="s">
        <v>68</v>
      </c>
      <c r="G89" s="158">
        <f>27.2034*(Logic!$D$131)</f>
        <v>28.019501999999999</v>
      </c>
      <c r="AD89" s="122"/>
      <c r="AN89" s="127">
        <v>90543131</v>
      </c>
      <c r="AO89" s="127" t="s">
        <v>1235</v>
      </c>
      <c r="AP89" s="158">
        <f>72.3894*(Logic!$D$131)</f>
        <v>74.561081999999999</v>
      </c>
    </row>
    <row r="90" spans="1:42">
      <c r="A90" s="121" t="s">
        <v>905</v>
      </c>
      <c r="B90" s="121" t="s">
        <v>901</v>
      </c>
      <c r="C90" s="121" t="s">
        <v>905</v>
      </c>
      <c r="D90" s="158">
        <f>0.459*(Logic!$D$131)</f>
        <v>0.47277000000000002</v>
      </c>
      <c r="F90" s="121" t="s">
        <v>69</v>
      </c>
      <c r="G90" s="158">
        <f>27.2034*(Logic!$D$131)</f>
        <v>28.019501999999999</v>
      </c>
      <c r="AD90" s="122"/>
      <c r="AN90" s="127">
        <v>91707413</v>
      </c>
      <c r="AO90" s="127" t="s">
        <v>1236</v>
      </c>
      <c r="AP90" s="158">
        <f>47.2872*(Logic!$D$131)</f>
        <v>48.705815999999999</v>
      </c>
    </row>
    <row r="91" spans="1:42">
      <c r="A91" s="121" t="s">
        <v>906</v>
      </c>
      <c r="B91" s="121" t="s">
        <v>902</v>
      </c>
      <c r="C91" s="121" t="s">
        <v>906</v>
      </c>
      <c r="D91" s="158">
        <f>5.5998*(Logic!$D$131)</f>
        <v>5.7677940000000003</v>
      </c>
      <c r="F91" s="121" t="s">
        <v>70</v>
      </c>
      <c r="G91" s="158">
        <f>0*(Logic!$D$131)</f>
        <v>0</v>
      </c>
      <c r="AD91" s="122"/>
      <c r="AN91" s="127">
        <v>91707503</v>
      </c>
      <c r="AO91" s="127" t="s">
        <v>1237</v>
      </c>
      <c r="AP91" s="158">
        <f>174.7872*(Logic!$D$131)</f>
        <v>180.03081600000002</v>
      </c>
    </row>
    <row r="92" spans="1:42">
      <c r="A92" s="121" t="s">
        <v>1016</v>
      </c>
      <c r="B92" s="121" t="s">
        <v>1017</v>
      </c>
      <c r="C92" s="121" t="s">
        <v>1016</v>
      </c>
      <c r="D92" s="158">
        <f>278.7048*(Logic!$D$131)</f>
        <v>287.065944</v>
      </c>
      <c r="F92" s="121" t="s">
        <v>424</v>
      </c>
      <c r="G92" s="158">
        <f>0*(Logic!$D$131)</f>
        <v>0</v>
      </c>
      <c r="AD92" s="122"/>
      <c r="AN92" s="127">
        <v>95047601</v>
      </c>
      <c r="AO92" s="127" t="s">
        <v>1238</v>
      </c>
      <c r="AP92" s="158">
        <f>20.553*(Logic!$D$131)</f>
        <v>21.169590000000003</v>
      </c>
    </row>
    <row r="93" spans="1:42">
      <c r="A93" s="121" t="s">
        <v>896</v>
      </c>
      <c r="B93" s="121" t="s">
        <v>895</v>
      </c>
      <c r="C93" s="121" t="s">
        <v>896</v>
      </c>
      <c r="D93" s="158">
        <f>21.0222*(Logic!$D$131)</f>
        <v>21.652866000000003</v>
      </c>
      <c r="F93" s="121" t="s">
        <v>423</v>
      </c>
      <c r="G93" s="158">
        <f>0.714*(Logic!$D$131)</f>
        <v>0.73541999999999996</v>
      </c>
      <c r="AD93" s="122"/>
      <c r="AN93" s="127">
        <v>31630615</v>
      </c>
      <c r="AO93" s="127" t="s">
        <v>1239</v>
      </c>
      <c r="AP93" s="158">
        <f>10.5162*(Logic!$D$131)</f>
        <v>10.831685999999999</v>
      </c>
    </row>
    <row r="94" spans="1:42">
      <c r="A94" s="121" t="s">
        <v>1018</v>
      </c>
      <c r="B94" s="121" t="s">
        <v>1019</v>
      </c>
      <c r="C94" s="121" t="s">
        <v>1018</v>
      </c>
      <c r="D94" s="158">
        <f>84.1806*(Logic!$D$131)</f>
        <v>86.706018</v>
      </c>
      <c r="F94" s="121" t="s">
        <v>422</v>
      </c>
      <c r="G94" s="158">
        <f>3.1518*(Logic!$D$131)</f>
        <v>3.2463540000000002</v>
      </c>
      <c r="AD94" s="122"/>
      <c r="AN94" s="127"/>
      <c r="AO94" s="127"/>
      <c r="AP94" s="149"/>
    </row>
    <row r="95" spans="1:42">
      <c r="A95" s="121" t="s">
        <v>1020</v>
      </c>
      <c r="B95" s="121" t="s">
        <v>1021</v>
      </c>
      <c r="C95" s="121" t="s">
        <v>1020</v>
      </c>
      <c r="D95" s="158">
        <f>29.9982*(Logic!$D$131)</f>
        <v>30.898146000000001</v>
      </c>
      <c r="F95" s="121" t="s">
        <v>868</v>
      </c>
      <c r="G95" s="158">
        <f>0*(Logic!$D$131)</f>
        <v>0</v>
      </c>
      <c r="AD95" s="122"/>
      <c r="AN95" s="127">
        <v>91535065</v>
      </c>
      <c r="AO95" s="127" t="s">
        <v>1240</v>
      </c>
      <c r="AP95" s="158">
        <f>25.6836*(Logic!$D$131)</f>
        <v>26.454107999999998</v>
      </c>
    </row>
    <row r="96" spans="1:42">
      <c r="A96" s="121" t="s">
        <v>1015</v>
      </c>
      <c r="B96" s="121" t="s">
        <v>965</v>
      </c>
      <c r="C96" s="121" t="s">
        <v>1015</v>
      </c>
      <c r="D96" s="158">
        <f>8.4048*(Logic!$D$131)</f>
        <v>8.6569439999999993</v>
      </c>
      <c r="F96" s="121" t="s">
        <v>71</v>
      </c>
      <c r="G96" s="158">
        <f>0*(Logic!$D$131)</f>
        <v>0</v>
      </c>
      <c r="AD96" s="122"/>
      <c r="AN96" s="127">
        <v>91701813</v>
      </c>
      <c r="AO96" s="127" t="s">
        <v>1241</v>
      </c>
      <c r="AP96" s="158">
        <f>605.5026*(Logic!$D$131)</f>
        <v>623.66767800000002</v>
      </c>
    </row>
    <row r="97" spans="1:42">
      <c r="A97" s="83" t="s">
        <v>1060</v>
      </c>
      <c r="B97" s="121" t="s">
        <v>967</v>
      </c>
      <c r="C97" s="83" t="s">
        <v>1060</v>
      </c>
      <c r="D97" s="158">
        <f>0*(Logic!$D$131)</f>
        <v>0</v>
      </c>
      <c r="F97" s="121" t="s">
        <v>866</v>
      </c>
      <c r="G97" s="158">
        <f>0*(Logic!$D$131)</f>
        <v>0</v>
      </c>
      <c r="AD97" s="122"/>
      <c r="AN97" s="127">
        <v>91707550</v>
      </c>
      <c r="AO97" s="127" t="s">
        <v>1242</v>
      </c>
      <c r="AP97" s="158">
        <f>979.4856*(Logic!$D$131)</f>
        <v>1008.870168</v>
      </c>
    </row>
    <row r="98" spans="1:42">
      <c r="A98" s="121" t="s">
        <v>1056</v>
      </c>
      <c r="B98" s="121" t="s">
        <v>1054</v>
      </c>
      <c r="C98" s="121" t="s">
        <v>1056</v>
      </c>
      <c r="D98" s="158">
        <f>72.5424*(Logic!$D$131)</f>
        <v>74.718671999999998</v>
      </c>
      <c r="F98" s="121" t="s">
        <v>867</v>
      </c>
      <c r="G98" s="158">
        <f>3.1518*(Logic!$D$131)</f>
        <v>3.2463540000000002</v>
      </c>
      <c r="AD98" s="122"/>
      <c r="AN98" s="127">
        <v>91708771</v>
      </c>
      <c r="AO98" s="127" t="s">
        <v>1243</v>
      </c>
      <c r="AP98" s="158">
        <f>153.0714*(Logic!$D$131)</f>
        <v>157.66354200000001</v>
      </c>
    </row>
    <row r="99" spans="1:42">
      <c r="A99" s="121" t="s">
        <v>1052</v>
      </c>
      <c r="B99" s="121" t="s">
        <v>1050</v>
      </c>
      <c r="C99" s="121" t="s">
        <v>1052</v>
      </c>
      <c r="D99" s="158">
        <f>13.4742*(Logic!$D$131)</f>
        <v>13.878425999999999</v>
      </c>
      <c r="F99" s="121" t="s">
        <v>418</v>
      </c>
      <c r="G99" s="158">
        <f>0*(Logic!$D$131)</f>
        <v>0</v>
      </c>
      <c r="AD99" s="122"/>
      <c r="AN99" s="127">
        <v>94002422</v>
      </c>
      <c r="AO99" s="127" t="s">
        <v>1244</v>
      </c>
      <c r="AP99" s="158">
        <f>90.7188*(Logic!$D$131)</f>
        <v>93.440364000000002</v>
      </c>
    </row>
    <row r="100" spans="1:42">
      <c r="A100" s="121" t="s">
        <v>1053</v>
      </c>
      <c r="B100" s="121" t="s">
        <v>1051</v>
      </c>
      <c r="C100" s="121" t="s">
        <v>1053</v>
      </c>
      <c r="D100" s="158">
        <f>39.7188*(Logic!$D$131)</f>
        <v>40.910364000000001</v>
      </c>
      <c r="F100" s="121" t="s">
        <v>417</v>
      </c>
      <c r="G100" s="158">
        <f>0*(Logic!$D$131)</f>
        <v>0</v>
      </c>
      <c r="AD100" s="122"/>
      <c r="AN100" s="127">
        <v>95047891</v>
      </c>
      <c r="AO100" s="127" t="s">
        <v>1245</v>
      </c>
      <c r="AP100" s="158">
        <f>56.1612*(Logic!$D$131)</f>
        <v>57.846036000000005</v>
      </c>
    </row>
    <row r="101" spans="1:42">
      <c r="A101" s="121" t="s">
        <v>1069</v>
      </c>
      <c r="B101" s="121" t="s">
        <v>1063</v>
      </c>
      <c r="C101" s="121" t="s">
        <v>1069</v>
      </c>
      <c r="D101" s="158">
        <f>24.0312*(Logic!$D$131)</f>
        <v>24.752136</v>
      </c>
      <c r="F101" s="121" t="s">
        <v>416</v>
      </c>
      <c r="G101" s="158">
        <f>0*(Logic!$D$131)</f>
        <v>0</v>
      </c>
      <c r="AD101" s="122"/>
      <c r="AN101" s="127">
        <v>51057173</v>
      </c>
      <c r="AO101" s="127" t="s">
        <v>1246</v>
      </c>
      <c r="AP101" s="158">
        <f>64.3314*(Logic!$D$131)</f>
        <v>66.261341999999999</v>
      </c>
    </row>
    <row r="102" spans="1:42">
      <c r="A102" s="121" t="s">
        <v>1070</v>
      </c>
      <c r="B102" s="134" t="s">
        <v>1064</v>
      </c>
      <c r="C102" s="121" t="s">
        <v>1070</v>
      </c>
      <c r="D102" s="158">
        <f>17.544*(Logic!$D$131)</f>
        <v>18.070320000000002</v>
      </c>
      <c r="F102" s="121" t="s">
        <v>415</v>
      </c>
      <c r="G102" s="158">
        <f>0*(Logic!$D$131)</f>
        <v>0</v>
      </c>
      <c r="AD102" s="122"/>
      <c r="AN102" s="127">
        <v>83301223</v>
      </c>
      <c r="AO102" s="127" t="s">
        <v>1247</v>
      </c>
      <c r="AP102" s="158">
        <f>731.3808*(Logic!$D$131)</f>
        <v>753.32222400000001</v>
      </c>
    </row>
    <row r="103" spans="1:42">
      <c r="A103" s="121" t="s">
        <v>1067</v>
      </c>
      <c r="B103" s="134" t="s">
        <v>1065</v>
      </c>
      <c r="C103" s="121" t="s">
        <v>1067</v>
      </c>
      <c r="D103" s="158">
        <f>17.4012*(Logic!$D$131)</f>
        <v>17.923235999999999</v>
      </c>
      <c r="F103" s="121" t="s">
        <v>18</v>
      </c>
      <c r="G103" s="158">
        <f>0*(Logic!$D$131)</f>
        <v>0</v>
      </c>
      <c r="AD103" s="122"/>
      <c r="AN103" s="127">
        <v>90543671</v>
      </c>
      <c r="AO103" s="127" t="s">
        <v>1248</v>
      </c>
      <c r="AP103" s="158">
        <f>72.6342*(Logic!$D$131)</f>
        <v>74.813226000000014</v>
      </c>
    </row>
    <row r="104" spans="1:42">
      <c r="A104" s="121" t="s">
        <v>1068</v>
      </c>
      <c r="B104" s="121" t="s">
        <v>1066</v>
      </c>
      <c r="C104" s="121" t="s">
        <v>1068</v>
      </c>
      <c r="D104" s="158">
        <f>18.819*(Logic!$D$131)</f>
        <v>19.383569999999999</v>
      </c>
      <c r="F104" s="121" t="s">
        <v>412</v>
      </c>
      <c r="G104" s="158">
        <f>0*(Logic!$D$131)</f>
        <v>0</v>
      </c>
      <c r="AD104" s="122"/>
      <c r="AN104" s="127"/>
      <c r="AO104" s="127"/>
      <c r="AP104" s="149"/>
    </row>
    <row r="105" spans="1:42">
      <c r="A105" s="121" t="s">
        <v>413</v>
      </c>
      <c r="B105" s="121" t="s">
        <v>414</v>
      </c>
      <c r="C105" s="121" t="s">
        <v>413</v>
      </c>
      <c r="D105" s="158">
        <f>127.3776*(Logic!$D$131)</f>
        <v>131.198928</v>
      </c>
      <c r="F105" s="121" t="s">
        <v>869</v>
      </c>
      <c r="G105" s="158">
        <f>0*(Logic!$D$131)</f>
        <v>0</v>
      </c>
      <c r="AD105" s="122"/>
      <c r="AN105" s="127">
        <v>91707414</v>
      </c>
      <c r="AO105" s="127" t="s">
        <v>1249</v>
      </c>
      <c r="AP105" s="158">
        <f>65.8512*(Logic!$D$131)</f>
        <v>67.826736000000011</v>
      </c>
    </row>
    <row r="106" spans="1:42">
      <c r="A106" s="121" t="s">
        <v>410</v>
      </c>
      <c r="B106" s="121" t="s">
        <v>411</v>
      </c>
      <c r="C106" s="121" t="s">
        <v>410</v>
      </c>
      <c r="D106" s="158">
        <f>150.7254*(Logic!$D$131)</f>
        <v>155.247162</v>
      </c>
      <c r="F106" s="121" t="s">
        <v>406</v>
      </c>
      <c r="G106" s="158">
        <f>0*(Logic!$D$131)</f>
        <v>0</v>
      </c>
      <c r="AD106" s="122"/>
      <c r="AN106" s="127">
        <v>91707421</v>
      </c>
      <c r="AO106" s="127" t="s">
        <v>1250</v>
      </c>
      <c r="AP106" s="158">
        <f>145.9518*(Logic!$D$131)</f>
        <v>150.330354</v>
      </c>
    </row>
    <row r="107" spans="1:42">
      <c r="A107" s="121" t="s">
        <v>407</v>
      </c>
      <c r="B107" s="121" t="s">
        <v>408</v>
      </c>
      <c r="C107" s="121" t="s">
        <v>407</v>
      </c>
      <c r="D107" s="158">
        <f>167.433*(Logic!$D$131)</f>
        <v>172.45598999999999</v>
      </c>
      <c r="F107" s="121" t="s">
        <v>403</v>
      </c>
      <c r="G107" s="158">
        <f>0*(Logic!$D$131)</f>
        <v>0</v>
      </c>
      <c r="AD107" s="122"/>
      <c r="AN107" s="127">
        <v>91707902</v>
      </c>
      <c r="AO107" s="127" t="s">
        <v>1251</v>
      </c>
      <c r="AP107" s="158">
        <f>66.657*(Logic!$D$131)</f>
        <v>68.656710000000004</v>
      </c>
    </row>
    <row r="108" spans="1:42">
      <c r="A108" s="121" t="s">
        <v>404</v>
      </c>
      <c r="B108" s="121" t="s">
        <v>405</v>
      </c>
      <c r="C108" s="121" t="s">
        <v>404</v>
      </c>
      <c r="D108" s="158">
        <f>94.809*(Logic!$D$131)</f>
        <v>97.653270000000006</v>
      </c>
      <c r="F108" s="121" t="s">
        <v>400</v>
      </c>
      <c r="G108" s="158">
        <f>0*(Logic!$D$131)</f>
        <v>0</v>
      </c>
      <c r="AD108" s="122"/>
      <c r="AN108" s="127">
        <v>96300208</v>
      </c>
      <c r="AO108" s="127" t="s">
        <v>1252</v>
      </c>
      <c r="AP108" s="158">
        <f>45.7674*(Logic!$D$131)</f>
        <v>47.140422000000001</v>
      </c>
    </row>
    <row r="109" spans="1:42">
      <c r="A109" s="121" t="s">
        <v>401</v>
      </c>
      <c r="B109" s="121" t="s">
        <v>402</v>
      </c>
      <c r="C109" s="121" t="s">
        <v>401</v>
      </c>
      <c r="D109" s="158">
        <f>0*(Logic!$D$131)</f>
        <v>0</v>
      </c>
      <c r="F109" s="121" t="s">
        <v>399</v>
      </c>
      <c r="G109" s="158">
        <f>0*(Logic!$D$131)</f>
        <v>0</v>
      </c>
      <c r="AD109" s="122"/>
      <c r="AN109" s="127">
        <v>90543031</v>
      </c>
      <c r="AO109" s="127" t="s">
        <v>1253</v>
      </c>
      <c r="AP109" s="158">
        <f>92.7078*(Logic!$D$131)</f>
        <v>95.489034000000004</v>
      </c>
    </row>
    <row r="110" spans="1:42">
      <c r="A110" s="121" t="s">
        <v>1123</v>
      </c>
      <c r="B110" s="121" t="s">
        <v>1122</v>
      </c>
      <c r="C110" s="121" t="s">
        <v>1123</v>
      </c>
      <c r="D110" s="158">
        <f>478.7574*(Logic!$D$131)</f>
        <v>493.12012200000004</v>
      </c>
      <c r="F110" s="121" t="s">
        <v>398</v>
      </c>
      <c r="G110" s="158">
        <f>0*(Logic!$D$131)</f>
        <v>0</v>
      </c>
      <c r="AD110" s="122"/>
      <c r="AN110" s="127">
        <v>90543351</v>
      </c>
      <c r="AO110" s="127" t="s">
        <v>1254</v>
      </c>
      <c r="AP110" s="158">
        <f>38.4132*(Logic!$D$131)</f>
        <v>39.565596000000006</v>
      </c>
    </row>
    <row r="111" spans="1:42">
      <c r="A111" s="121" t="s">
        <v>1125</v>
      </c>
      <c r="B111" s="121" t="s">
        <v>1124</v>
      </c>
      <c r="C111" s="121" t="s">
        <v>1125</v>
      </c>
      <c r="D111" s="158">
        <f>400.0032*(Logic!$D$131)</f>
        <v>412.00329599999998</v>
      </c>
      <c r="F111" s="121" t="s">
        <v>19</v>
      </c>
      <c r="G111" s="158">
        <f>5.2632*(Logic!$D$131)</f>
        <v>5.4210960000000004</v>
      </c>
      <c r="AD111" s="122"/>
      <c r="AN111" s="127">
        <v>90543371</v>
      </c>
      <c r="AO111" s="127" t="s">
        <v>1255</v>
      </c>
      <c r="AP111" s="158">
        <f>38.0664*(Logic!$D$131)</f>
        <v>39.208392000000003</v>
      </c>
    </row>
    <row r="112" spans="1:42">
      <c r="A112" s="121" t="s">
        <v>1127</v>
      </c>
      <c r="B112" s="121" t="s">
        <v>1126</v>
      </c>
      <c r="C112" s="121" t="s">
        <v>1127</v>
      </c>
      <c r="D112" s="158">
        <f>386.5392*(Logic!$D$131)</f>
        <v>398.13537600000001</v>
      </c>
      <c r="F112" s="121" t="s">
        <v>397</v>
      </c>
      <c r="G112" s="158">
        <f>5.2632*(Logic!$D$131)</f>
        <v>5.4210960000000004</v>
      </c>
      <c r="AD112" s="122"/>
      <c r="AN112" s="127">
        <v>90543513</v>
      </c>
      <c r="AO112" s="127" t="s">
        <v>1256</v>
      </c>
      <c r="AP112" s="158">
        <f>286.2936*(Logic!$D$131)</f>
        <v>294.88240800000005</v>
      </c>
    </row>
    <row r="113" spans="1:42">
      <c r="A113" s="121" t="s">
        <v>1129</v>
      </c>
      <c r="B113" s="121" t="s">
        <v>1128</v>
      </c>
      <c r="C113" s="121" t="s">
        <v>1129</v>
      </c>
      <c r="D113" s="158">
        <f>402.6552*(Logic!$D$131)</f>
        <v>414.73485599999998</v>
      </c>
      <c r="F113" s="121" t="s">
        <v>396</v>
      </c>
      <c r="G113" s="158">
        <f>5.2632*(Logic!$D$131)</f>
        <v>5.4210960000000004</v>
      </c>
      <c r="AD113" s="122"/>
      <c r="AN113" s="127">
        <v>91535165</v>
      </c>
      <c r="AO113" s="127" t="s">
        <v>1257</v>
      </c>
      <c r="AP113" s="158">
        <f>250.9098*(Logic!$D$131)</f>
        <v>258.437094</v>
      </c>
    </row>
    <row r="114" spans="1:42">
      <c r="A114" s="121" t="s">
        <v>394</v>
      </c>
      <c r="B114" s="121" t="s">
        <v>395</v>
      </c>
      <c r="C114" s="121" t="s">
        <v>394</v>
      </c>
      <c r="D114" s="158">
        <f>145.3704*(Logic!$D$131)</f>
        <v>149.73151199999998</v>
      </c>
      <c r="F114" s="121" t="s">
        <v>393</v>
      </c>
      <c r="G114" s="158">
        <f>5.2632*(Logic!$D$131)</f>
        <v>5.4210960000000004</v>
      </c>
      <c r="AD114" s="122"/>
      <c r="AN114" s="127">
        <v>91702602</v>
      </c>
      <c r="AO114" s="127" t="s">
        <v>1258</v>
      </c>
      <c r="AP114" s="158">
        <f>10.5162*(Logic!$D$131)</f>
        <v>10.831685999999999</v>
      </c>
    </row>
    <row r="115" spans="1:42">
      <c r="A115" s="121" t="s">
        <v>391</v>
      </c>
      <c r="B115" s="121" t="s">
        <v>392</v>
      </c>
      <c r="C115" s="121" t="s">
        <v>391</v>
      </c>
      <c r="D115" s="158">
        <f>163.5774*(Logic!$D$131)</f>
        <v>168.484722</v>
      </c>
      <c r="F115" s="121" t="s">
        <v>20</v>
      </c>
      <c r="G115" s="158">
        <f>10.6182*(Logic!$D$131)</f>
        <v>10.936745999999999</v>
      </c>
      <c r="AD115" s="122"/>
      <c r="AN115" s="127">
        <v>91707307</v>
      </c>
      <c r="AO115" s="127" t="s">
        <v>1259</v>
      </c>
      <c r="AP115" s="158">
        <f>115.2396*(Logic!$D$131)</f>
        <v>118.696788</v>
      </c>
    </row>
    <row r="116" spans="1:42">
      <c r="A116" s="121" t="s">
        <v>389</v>
      </c>
      <c r="B116" s="121" t="s">
        <v>390</v>
      </c>
      <c r="C116" s="121" t="s">
        <v>389</v>
      </c>
      <c r="D116" s="158">
        <f>172.9206*(Logic!$D$131)</f>
        <v>178.10821800000002</v>
      </c>
      <c r="F116" s="121" t="s">
        <v>388</v>
      </c>
      <c r="G116" s="158">
        <f>10.6182*(Logic!$D$131)</f>
        <v>10.936745999999999</v>
      </c>
      <c r="AD116" s="122"/>
      <c r="AN116" s="127">
        <v>91707703</v>
      </c>
      <c r="AO116" s="127" t="s">
        <v>1260</v>
      </c>
      <c r="AP116" s="158">
        <f>117.6774*(Logic!$D$131)</f>
        <v>121.207722</v>
      </c>
    </row>
    <row r="117" spans="1:42">
      <c r="A117" s="121" t="s">
        <v>386</v>
      </c>
      <c r="B117" s="121" t="s">
        <v>387</v>
      </c>
      <c r="C117" s="121" t="s">
        <v>386</v>
      </c>
      <c r="D117" s="158">
        <f>188.2206*(Logic!$D$131)</f>
        <v>193.86721800000001</v>
      </c>
      <c r="F117" s="121" t="s">
        <v>385</v>
      </c>
      <c r="G117" s="158">
        <f>10.6182*(Logic!$D$131)</f>
        <v>10.936745999999999</v>
      </c>
      <c r="AD117" s="122"/>
      <c r="AN117" s="127">
        <v>31810430</v>
      </c>
      <c r="AO117" s="127" t="s">
        <v>1261</v>
      </c>
      <c r="AP117" s="158">
        <f>0.408*(Logic!$D$131)</f>
        <v>0.42024</v>
      </c>
    </row>
    <row r="118" spans="1:42">
      <c r="A118" s="121" t="s">
        <v>383</v>
      </c>
      <c r="B118" s="121" t="s">
        <v>384</v>
      </c>
      <c r="C118" s="121" t="s">
        <v>383</v>
      </c>
      <c r="D118" s="158">
        <f>194.1774*(Logic!$D$131)</f>
        <v>200.00272200000001</v>
      </c>
      <c r="F118" s="121" t="s">
        <v>382</v>
      </c>
      <c r="G118" s="158">
        <f>10.6182*(Logic!$D$131)</f>
        <v>10.936745999999999</v>
      </c>
      <c r="AD118" s="122"/>
      <c r="AN118" s="127">
        <v>91535039</v>
      </c>
      <c r="AO118" s="127" t="s">
        <v>1262</v>
      </c>
      <c r="AP118" s="158">
        <f>8.874*(Logic!$D$131)</f>
        <v>9.1402200000000011</v>
      </c>
    </row>
    <row r="119" spans="1:42">
      <c r="A119" s="121" t="s">
        <v>380</v>
      </c>
      <c r="B119" s="121" t="s">
        <v>381</v>
      </c>
      <c r="C119" s="121" t="s">
        <v>380</v>
      </c>
      <c r="D119" s="158">
        <f>226.3992*(Logic!$D$131)</f>
        <v>233.19117600000001</v>
      </c>
      <c r="F119" s="121" t="s">
        <v>379</v>
      </c>
      <c r="G119" s="158">
        <f>10.6182*(Logic!$D$131)</f>
        <v>10.936745999999999</v>
      </c>
      <c r="AD119" s="122"/>
      <c r="AN119" s="127">
        <v>91535042</v>
      </c>
      <c r="AO119" s="127" t="s">
        <v>1263</v>
      </c>
      <c r="AP119" s="158">
        <f>5.7222*(Logic!$D$131)</f>
        <v>5.893866</v>
      </c>
    </row>
    <row r="120" spans="1:42">
      <c r="A120" s="121" t="s">
        <v>1014</v>
      </c>
      <c r="B120" s="121" t="s">
        <v>378</v>
      </c>
      <c r="C120" s="121" t="s">
        <v>1014</v>
      </c>
      <c r="D120" s="158">
        <f>0*(Logic!$D$131)</f>
        <v>0</v>
      </c>
      <c r="F120" s="121" t="s">
        <v>21</v>
      </c>
      <c r="G120" s="158">
        <f>15.8814*(Logic!$D$131)</f>
        <v>16.357841999999998</v>
      </c>
      <c r="AD120" s="122"/>
      <c r="AN120" s="127">
        <v>91701812</v>
      </c>
      <c r="AO120" s="127" t="s">
        <v>1264</v>
      </c>
      <c r="AP120" s="158">
        <f>365.4558*(Logic!$D$131)</f>
        <v>376.41947400000004</v>
      </c>
    </row>
    <row r="121" spans="1:42">
      <c r="A121" s="121" t="s">
        <v>376</v>
      </c>
      <c r="B121" s="121" t="s">
        <v>377</v>
      </c>
      <c r="C121" s="121" t="s">
        <v>376</v>
      </c>
      <c r="D121" s="158">
        <f>111.6186*(Logic!$D$131)</f>
        <v>114.967158</v>
      </c>
      <c r="F121" s="121" t="s">
        <v>375</v>
      </c>
      <c r="G121" s="158">
        <f>15.8814*(Logic!$D$131)</f>
        <v>16.357841999999998</v>
      </c>
      <c r="AD121" s="122"/>
      <c r="AN121" s="127">
        <v>91707408</v>
      </c>
      <c r="AO121" s="127" t="s">
        <v>1265</v>
      </c>
      <c r="AP121" s="158">
        <f>8.5272*(Logic!$D$131)</f>
        <v>8.7830159999999999</v>
      </c>
    </row>
    <row r="122" spans="1:42">
      <c r="A122" s="121" t="s">
        <v>373</v>
      </c>
      <c r="B122" s="121" t="s">
        <v>374</v>
      </c>
      <c r="C122" s="121" t="s">
        <v>373</v>
      </c>
      <c r="D122" s="158">
        <f>59.67*(Logic!$D$131)</f>
        <v>61.460100000000004</v>
      </c>
      <c r="F122" s="121" t="s">
        <v>372</v>
      </c>
      <c r="G122" s="158">
        <f>15.8814*(Logic!$D$131)</f>
        <v>16.357841999999998</v>
      </c>
      <c r="AD122" s="122"/>
      <c r="AN122" s="127">
        <v>91707409</v>
      </c>
      <c r="AO122" s="127" t="s">
        <v>856</v>
      </c>
      <c r="AP122" s="158">
        <f>36.6588*(Logic!$D$131)</f>
        <v>37.758564</v>
      </c>
    </row>
    <row r="123" spans="1:42">
      <c r="A123" s="121" t="s">
        <v>370</v>
      </c>
      <c r="B123" s="121" t="s">
        <v>371</v>
      </c>
      <c r="C123" s="121" t="s">
        <v>370</v>
      </c>
      <c r="D123" s="158">
        <f>318.2808*(Logic!$D$131)</f>
        <v>327.82922400000001</v>
      </c>
      <c r="F123" s="121" t="s">
        <v>369</v>
      </c>
      <c r="G123" s="158">
        <f>15.8814*(Logic!$D$131)</f>
        <v>16.357841999999998</v>
      </c>
      <c r="AD123" s="122"/>
      <c r="AN123" s="127">
        <v>91707411</v>
      </c>
      <c r="AO123" s="127" t="s">
        <v>1266</v>
      </c>
      <c r="AP123" s="158">
        <f>4810.4526*(Logic!$D$131)</f>
        <v>4954.7661779999999</v>
      </c>
    </row>
    <row r="124" spans="1:42">
      <c r="A124" s="121" t="s">
        <v>367</v>
      </c>
      <c r="B124" s="121" t="s">
        <v>368</v>
      </c>
      <c r="C124" s="121" t="s">
        <v>367</v>
      </c>
      <c r="D124" s="158">
        <f>0*(Logic!$D$131)</f>
        <v>0</v>
      </c>
      <c r="F124" s="121" t="s">
        <v>366</v>
      </c>
      <c r="G124" s="158">
        <f>15.8814*(Logic!$D$131)</f>
        <v>16.357841999999998</v>
      </c>
      <c r="AD124" s="122"/>
      <c r="AN124" s="127">
        <v>91707502</v>
      </c>
      <c r="AO124" s="127" t="s">
        <v>1267</v>
      </c>
      <c r="AP124" s="158">
        <f>8.5272*(Logic!$D$131)</f>
        <v>8.7830159999999999</v>
      </c>
    </row>
    <row r="125" spans="1:42">
      <c r="A125" s="121" t="s">
        <v>1030</v>
      </c>
      <c r="B125" s="121" t="s">
        <v>1031</v>
      </c>
      <c r="C125" s="121" t="s">
        <v>1030</v>
      </c>
      <c r="D125" s="158">
        <f>105.1926*(Logic!$D$131)</f>
        <v>108.348378</v>
      </c>
      <c r="F125" s="121" t="s">
        <v>22</v>
      </c>
      <c r="G125" s="158">
        <f>21.2568*(Logic!$D$131)</f>
        <v>21.894503999999998</v>
      </c>
      <c r="AD125" s="122"/>
      <c r="AN125" s="127">
        <v>91707505</v>
      </c>
      <c r="AO125" s="127" t="s">
        <v>1268</v>
      </c>
      <c r="AP125" s="158">
        <f>20.553*(Logic!$D$131)</f>
        <v>21.169590000000003</v>
      </c>
    </row>
    <row r="126" spans="1:42">
      <c r="A126" s="92" t="s">
        <v>1121</v>
      </c>
      <c r="B126" s="121" t="s">
        <v>1120</v>
      </c>
      <c r="C126" s="92" t="s">
        <v>1121</v>
      </c>
      <c r="D126" s="158">
        <f>381.174*(Logic!$D$131)</f>
        <v>392.60921999999999</v>
      </c>
      <c r="F126" s="121" t="s">
        <v>365</v>
      </c>
      <c r="G126" s="158">
        <f>21.2568*(Logic!$D$131)</f>
        <v>21.894503999999998</v>
      </c>
      <c r="AD126" s="122"/>
      <c r="AN126" s="127">
        <v>91707506</v>
      </c>
      <c r="AO126" s="127" t="s">
        <v>1269</v>
      </c>
      <c r="AP126" s="158">
        <f>56.967*(Logic!$D$131)</f>
        <v>58.676009999999998</v>
      </c>
    </row>
    <row r="127" spans="1:42">
      <c r="A127" s="121" t="s">
        <v>1036</v>
      </c>
      <c r="B127" s="121" t="s">
        <v>1037</v>
      </c>
      <c r="C127" s="121" t="s">
        <v>1036</v>
      </c>
      <c r="D127" s="158">
        <f>52.887*(Logic!$D$131)</f>
        <v>54.473610000000001</v>
      </c>
      <c r="F127" s="121" t="s">
        <v>364</v>
      </c>
      <c r="G127" s="158">
        <f>21.2568*(Logic!$D$131)</f>
        <v>21.894503999999998</v>
      </c>
      <c r="AD127" s="122"/>
      <c r="AN127" s="127">
        <v>91707903</v>
      </c>
      <c r="AO127" s="127" t="s">
        <v>1270</v>
      </c>
      <c r="AP127" s="158">
        <f>74.1438*(Logic!$D$131)</f>
        <v>76.368114000000006</v>
      </c>
    </row>
    <row r="128" spans="1:42">
      <c r="A128" s="121" t="s">
        <v>1038</v>
      </c>
      <c r="B128" s="121" t="s">
        <v>1039</v>
      </c>
      <c r="C128" s="121" t="s">
        <v>1038</v>
      </c>
      <c r="D128" s="158">
        <f>74.6028*(Logic!$D$131)</f>
        <v>76.840884000000003</v>
      </c>
      <c r="F128" s="121" t="s">
        <v>363</v>
      </c>
      <c r="G128" s="158">
        <f>21.2568*(Logic!$D$131)</f>
        <v>21.894503999999998</v>
      </c>
      <c r="AD128" s="122"/>
      <c r="AN128" s="127">
        <v>95047491</v>
      </c>
      <c r="AO128" s="127" t="s">
        <v>1271</v>
      </c>
      <c r="AP128" s="158">
        <f>8.6496*(Logic!$D$131)</f>
        <v>8.9090880000000006</v>
      </c>
    </row>
    <row r="129" spans="1:42">
      <c r="A129" s="121" t="s">
        <v>1022</v>
      </c>
      <c r="B129" s="121" t="s">
        <v>1023</v>
      </c>
      <c r="C129" s="121" t="s">
        <v>1022</v>
      </c>
      <c r="D129" s="158">
        <f>597.2304*(Logic!$D$131)</f>
        <v>615.14731200000006</v>
      </c>
      <c r="F129" s="121" t="s">
        <v>23</v>
      </c>
      <c r="G129" s="158">
        <f>30.4674*(Logic!$D$131)</f>
        <v>31.381422000000001</v>
      </c>
      <c r="AD129" s="122"/>
      <c r="AN129" s="127">
        <v>95047871</v>
      </c>
      <c r="AO129" s="127" t="s">
        <v>1272</v>
      </c>
      <c r="AP129" s="158">
        <f>58.497*(Logic!$D$131)</f>
        <v>60.251910000000002</v>
      </c>
    </row>
    <row r="130" spans="1:42">
      <c r="A130" s="83" t="s">
        <v>1059</v>
      </c>
      <c r="B130" s="121" t="s">
        <v>1029</v>
      </c>
      <c r="C130" s="83" t="s">
        <v>1059</v>
      </c>
      <c r="D130" s="158">
        <f>0*(Logic!$D$131)</f>
        <v>0</v>
      </c>
      <c r="F130" s="121" t="s">
        <v>362</v>
      </c>
      <c r="G130" s="158">
        <f>30.4674*(Logic!$D$131)</f>
        <v>31.381422000000001</v>
      </c>
      <c r="AD130" s="122"/>
      <c r="AN130" s="127">
        <v>96300209</v>
      </c>
      <c r="AO130" s="127" t="s">
        <v>1273</v>
      </c>
      <c r="AP130" s="158">
        <f>10.0572*(Logic!$D$131)</f>
        <v>10.358916000000001</v>
      </c>
    </row>
    <row r="131" spans="1:42">
      <c r="A131" s="121" t="s">
        <v>36</v>
      </c>
      <c r="B131" s="121" t="s">
        <v>358</v>
      </c>
      <c r="C131" s="121" t="s">
        <v>36</v>
      </c>
      <c r="D131" s="158">
        <f>58.7214*(Logic!$D$131)</f>
        <v>60.483042000000005</v>
      </c>
      <c r="F131" s="121" t="s">
        <v>361</v>
      </c>
      <c r="G131" s="158">
        <f>30.4674*(Logic!$D$131)</f>
        <v>31.381422000000001</v>
      </c>
      <c r="AD131" s="122"/>
      <c r="AN131" s="127">
        <v>96300210</v>
      </c>
      <c r="AO131" s="127" t="s">
        <v>1274</v>
      </c>
      <c r="AP131" s="158">
        <f>10.0572*(Logic!$D$131)</f>
        <v>10.358916000000001</v>
      </c>
    </row>
    <row r="132" spans="1:42">
      <c r="A132" s="121" t="s">
        <v>33</v>
      </c>
      <c r="B132" s="121" t="s">
        <v>356</v>
      </c>
      <c r="C132" s="121" t="s">
        <v>33</v>
      </c>
      <c r="D132" s="158">
        <f>61.4346*(Logic!$D$131)</f>
        <v>63.277638000000003</v>
      </c>
      <c r="F132" s="121" t="s">
        <v>360</v>
      </c>
      <c r="G132" s="158">
        <f>30.4674*(Logic!$D$131)</f>
        <v>31.381422000000001</v>
      </c>
      <c r="AD132" s="122"/>
      <c r="AN132" s="127">
        <v>31610610</v>
      </c>
      <c r="AO132" s="127" t="s">
        <v>1275</v>
      </c>
      <c r="AP132" s="158">
        <f>0.255*(Logic!$D$131)</f>
        <v>0.26264999999999999</v>
      </c>
    </row>
    <row r="133" spans="1:42">
      <c r="A133" s="121" t="s">
        <v>31</v>
      </c>
      <c r="B133" s="121" t="s">
        <v>354</v>
      </c>
      <c r="C133" s="121" t="s">
        <v>31</v>
      </c>
      <c r="D133" s="158">
        <f>65.3922*(Logic!$D$131)</f>
        <v>67.353966</v>
      </c>
      <c r="F133" s="121" t="s">
        <v>24</v>
      </c>
      <c r="G133" s="158">
        <f>39.8004*(Logic!$D$131)</f>
        <v>40.994412000000004</v>
      </c>
      <c r="AD133" s="122"/>
      <c r="AN133" s="127">
        <v>51055147</v>
      </c>
      <c r="AO133" s="127" t="s">
        <v>1276</v>
      </c>
      <c r="AP133" s="158">
        <f>112.2*(Logic!$D$131)</f>
        <v>115.566</v>
      </c>
    </row>
    <row r="134" spans="1:42">
      <c r="A134" s="121" t="s">
        <v>32</v>
      </c>
      <c r="B134" s="121" t="s">
        <v>353</v>
      </c>
      <c r="C134" s="121" t="s">
        <v>32</v>
      </c>
      <c r="D134" s="158">
        <f>70.4106*(Logic!$D$131)</f>
        <v>72.522918000000004</v>
      </c>
      <c r="F134" s="121" t="s">
        <v>359</v>
      </c>
      <c r="G134" s="158">
        <f>39.8004*(Logic!$D$131)</f>
        <v>40.994412000000004</v>
      </c>
      <c r="AD134" s="122"/>
      <c r="AN134" s="127">
        <v>83300832</v>
      </c>
      <c r="AO134" s="127" t="s">
        <v>1277</v>
      </c>
      <c r="AP134" s="158">
        <f>20.3184*(Logic!$D$131)</f>
        <v>20.927952000000001</v>
      </c>
    </row>
    <row r="135" spans="1:42">
      <c r="A135" s="121" t="s">
        <v>1057</v>
      </c>
      <c r="B135" s="121" t="s">
        <v>351</v>
      </c>
      <c r="C135" s="121" t="s">
        <v>1057</v>
      </c>
      <c r="D135" s="158">
        <f>78.9276*(Logic!$D$131)</f>
        <v>81.295428000000001</v>
      </c>
      <c r="F135" s="121" t="s">
        <v>870</v>
      </c>
      <c r="G135" s="158">
        <f>39.8004*(Logic!$D$131)</f>
        <v>40.994412000000004</v>
      </c>
      <c r="AD135" s="122"/>
      <c r="AN135" s="127">
        <v>90543051</v>
      </c>
      <c r="AO135" s="127" t="s">
        <v>1278</v>
      </c>
      <c r="AP135" s="158">
        <f>131.5902*(Logic!$D$131)</f>
        <v>135.53790600000002</v>
      </c>
    </row>
    <row r="136" spans="1:42">
      <c r="A136" s="121" t="s">
        <v>34</v>
      </c>
      <c r="B136" s="121" t="s">
        <v>348</v>
      </c>
      <c r="C136" s="121" t="s">
        <v>34</v>
      </c>
      <c r="D136" s="158">
        <f>90.1476*(Logic!$D$131)</f>
        <v>92.852028000000004</v>
      </c>
      <c r="F136" s="121" t="s">
        <v>871</v>
      </c>
      <c r="G136" s="158">
        <f>39.8004*(Logic!$D$131)</f>
        <v>40.994412000000004</v>
      </c>
      <c r="AD136" s="122"/>
      <c r="AN136" s="127">
        <v>90543571</v>
      </c>
      <c r="AO136" s="127" t="s">
        <v>1279</v>
      </c>
      <c r="AP136" s="158">
        <f>15.8814*(Logic!$D$131)</f>
        <v>16.357841999999998</v>
      </c>
    </row>
    <row r="137" spans="1:42">
      <c r="A137" s="121" t="s">
        <v>35</v>
      </c>
      <c r="B137" s="121" t="s">
        <v>347</v>
      </c>
      <c r="C137" s="121" t="s">
        <v>35</v>
      </c>
      <c r="D137" s="158">
        <f>111.5064*(Logic!$D$131)</f>
        <v>114.851592</v>
      </c>
      <c r="F137" s="121" t="s">
        <v>25</v>
      </c>
      <c r="G137" s="158">
        <f>49.0314*(Logic!$D$131)</f>
        <v>50.502341999999999</v>
      </c>
      <c r="AD137" s="122"/>
      <c r="AN137" s="127"/>
      <c r="AO137" s="127"/>
      <c r="AP137" s="149"/>
    </row>
    <row r="138" spans="1:42">
      <c r="A138" s="121" t="s">
        <v>38</v>
      </c>
      <c r="B138" s="121" t="s">
        <v>345</v>
      </c>
      <c r="C138" s="121" t="s">
        <v>38</v>
      </c>
      <c r="D138" s="158">
        <f>37.7196*(Logic!$D$131)</f>
        <v>38.851188</v>
      </c>
      <c r="F138" s="121" t="s">
        <v>352</v>
      </c>
      <c r="G138" s="158">
        <f>49.0314*(Logic!$D$131)</f>
        <v>50.502341999999999</v>
      </c>
      <c r="AD138" s="122"/>
      <c r="AN138" s="127">
        <v>91535011</v>
      </c>
      <c r="AO138" s="127" t="s">
        <v>1280</v>
      </c>
      <c r="AP138" s="158">
        <f>22.8888*(Logic!$D$131)</f>
        <v>23.575464</v>
      </c>
    </row>
    <row r="139" spans="1:42">
      <c r="A139" s="121" t="s">
        <v>37</v>
      </c>
      <c r="B139" s="121" t="s">
        <v>343</v>
      </c>
      <c r="C139" s="121" t="s">
        <v>37</v>
      </c>
      <c r="D139" s="158">
        <f>39.4638*(Logic!$D$131)</f>
        <v>40.647714000000001</v>
      </c>
      <c r="F139" s="121" t="s">
        <v>872</v>
      </c>
      <c r="G139" s="158">
        <f>49.0314*(Logic!$D$131)</f>
        <v>50.502341999999999</v>
      </c>
      <c r="AD139" s="122"/>
      <c r="AN139" s="127">
        <v>91535017</v>
      </c>
      <c r="AO139" s="127" t="s">
        <v>1281</v>
      </c>
      <c r="AP139" s="158">
        <f>16.5954*(Logic!$D$131)</f>
        <v>17.093262000000003</v>
      </c>
    </row>
    <row r="140" spans="1:42">
      <c r="A140" s="121" t="s">
        <v>340</v>
      </c>
      <c r="B140" s="121" t="s">
        <v>341</v>
      </c>
      <c r="C140" s="121" t="s">
        <v>340</v>
      </c>
      <c r="D140" s="158">
        <f>54.2946*(Logic!$D$131)</f>
        <v>55.923438000000004</v>
      </c>
      <c r="F140" s="121" t="s">
        <v>26</v>
      </c>
      <c r="G140" s="158">
        <f>58.3848*(Logic!$D$131)</f>
        <v>60.136344000000001</v>
      </c>
      <c r="AD140" s="122"/>
      <c r="AN140" s="127">
        <v>91535019</v>
      </c>
      <c r="AO140" s="127" t="s">
        <v>1282</v>
      </c>
      <c r="AP140" s="158">
        <f>25.1022*(Logic!$D$131)</f>
        <v>25.855266</v>
      </c>
    </row>
    <row r="141" spans="1:42">
      <c r="A141" s="121" t="s">
        <v>338</v>
      </c>
      <c r="B141" s="121" t="s">
        <v>339</v>
      </c>
      <c r="C141" s="121" t="s">
        <v>338</v>
      </c>
      <c r="D141" s="158">
        <f>37.7196*(Logic!$D$131)</f>
        <v>38.851188</v>
      </c>
      <c r="F141" s="121" t="s">
        <v>346</v>
      </c>
      <c r="G141" s="158">
        <f>58.3848*(Logic!$D$131)</f>
        <v>60.136344000000001</v>
      </c>
      <c r="AD141" s="122"/>
      <c r="AN141" s="127">
        <v>91535048</v>
      </c>
      <c r="AO141" s="127" t="s">
        <v>1283</v>
      </c>
      <c r="AP141" s="158">
        <f>22.5726*(Logic!$D$131)</f>
        <v>23.249778000000003</v>
      </c>
    </row>
    <row r="142" spans="1:42">
      <c r="A142" s="121" t="s">
        <v>332</v>
      </c>
      <c r="B142" s="121" t="s">
        <v>333</v>
      </c>
      <c r="C142" s="121" t="s">
        <v>332</v>
      </c>
      <c r="D142" s="158">
        <f>54.8862*(Logic!$D$131)</f>
        <v>56.532786000000002</v>
      </c>
      <c r="F142" s="121" t="s">
        <v>873</v>
      </c>
      <c r="G142" s="158">
        <f>58.3848*(Logic!$D$131)</f>
        <v>60.136344000000001</v>
      </c>
      <c r="AD142" s="122"/>
      <c r="AN142" s="127">
        <v>91701811</v>
      </c>
      <c r="AO142" s="127" t="s">
        <v>1284</v>
      </c>
      <c r="AP142" s="158">
        <f>99.246*(Logic!$D$131)</f>
        <v>102.22337999999999</v>
      </c>
    </row>
    <row r="143" spans="1:42">
      <c r="A143" s="121" t="s">
        <v>330</v>
      </c>
      <c r="B143" s="121" t="s">
        <v>331</v>
      </c>
      <c r="C143" s="121" t="s">
        <v>330</v>
      </c>
      <c r="D143" s="158">
        <f>68.7684*(Logic!$D$131)</f>
        <v>70.831451999999999</v>
      </c>
      <c r="F143" s="121" t="s">
        <v>27</v>
      </c>
      <c r="G143" s="158">
        <f>67.7178*(Logic!$D$131)</f>
        <v>69.749334000000005</v>
      </c>
      <c r="AD143" s="122"/>
      <c r="AN143" s="127">
        <v>91707407</v>
      </c>
      <c r="AO143" s="127" t="s">
        <v>1285</v>
      </c>
      <c r="AP143" s="158">
        <f>8.5272*(Logic!$D$131)</f>
        <v>8.7830159999999999</v>
      </c>
    </row>
    <row r="144" spans="1:42">
      <c r="A144" s="121" t="s">
        <v>327</v>
      </c>
      <c r="B144" s="121" t="s">
        <v>328</v>
      </c>
      <c r="C144" s="121" t="s">
        <v>327</v>
      </c>
      <c r="D144" s="158">
        <f>0*(Logic!$D$131)</f>
        <v>0</v>
      </c>
      <c r="F144" s="121" t="s">
        <v>342</v>
      </c>
      <c r="G144" s="158">
        <f>67.7178*(Logic!$D$131)</f>
        <v>69.749334000000005</v>
      </c>
      <c r="AD144" s="122"/>
      <c r="AN144" s="127">
        <v>91707410</v>
      </c>
      <c r="AO144" s="127" t="s">
        <v>1286</v>
      </c>
      <c r="AP144" s="158">
        <f>5.5998*(Logic!$D$131)</f>
        <v>5.7677940000000003</v>
      </c>
    </row>
    <row r="145" spans="1:42">
      <c r="A145" s="121" t="s">
        <v>325</v>
      </c>
      <c r="B145" s="121" t="s">
        <v>326</v>
      </c>
      <c r="C145" s="121" t="s">
        <v>325</v>
      </c>
      <c r="D145" s="158">
        <f>40.1574*(Logic!$D$131)</f>
        <v>41.362122000000006</v>
      </c>
      <c r="F145" s="121" t="s">
        <v>121</v>
      </c>
      <c r="G145" s="158">
        <f>76.959*(Logic!$D$131)</f>
        <v>79.267769999999999</v>
      </c>
      <c r="AD145" s="122"/>
      <c r="AN145" s="127">
        <v>91707481</v>
      </c>
      <c r="AO145" s="127" t="s">
        <v>1287</v>
      </c>
      <c r="AP145" s="158">
        <f>437.8554*(Logic!$D$131)</f>
        <v>450.991062</v>
      </c>
    </row>
    <row r="146" spans="1:42">
      <c r="A146" s="121" t="s">
        <v>322</v>
      </c>
      <c r="B146" s="121" t="s">
        <v>323</v>
      </c>
      <c r="C146" s="121" t="s">
        <v>322</v>
      </c>
      <c r="D146" s="158">
        <f>47.634*(Logic!$D$131)</f>
        <v>49.063020000000002</v>
      </c>
      <c r="F146" s="121" t="s">
        <v>337</v>
      </c>
      <c r="G146" s="158">
        <f>76.959*(Logic!$D$131)</f>
        <v>79.267769999999999</v>
      </c>
      <c r="AD146" s="122"/>
      <c r="AN146" s="127">
        <v>91707501</v>
      </c>
      <c r="AO146" s="127" t="s">
        <v>1288</v>
      </c>
      <c r="AP146" s="158">
        <f>471.699*(Logic!$D$131)</f>
        <v>485.84997000000004</v>
      </c>
    </row>
    <row r="147" spans="1:42">
      <c r="A147" s="121" t="s">
        <v>320</v>
      </c>
      <c r="B147" s="121" t="s">
        <v>321</v>
      </c>
      <c r="C147" s="121" t="s">
        <v>320</v>
      </c>
      <c r="D147" s="158">
        <f>56.2938*(Logic!$D$131)</f>
        <v>57.982613999999998</v>
      </c>
      <c r="F147" s="121" t="s">
        <v>336</v>
      </c>
      <c r="G147" s="158">
        <f>76.959*(Logic!$D$131)</f>
        <v>79.267769999999999</v>
      </c>
      <c r="AD147" s="122"/>
      <c r="AN147" s="127">
        <v>91707511</v>
      </c>
      <c r="AO147" s="127" t="s">
        <v>1289</v>
      </c>
      <c r="AP147" s="158">
        <f>67.6158*(Logic!$D$131)</f>
        <v>69.644273999999996</v>
      </c>
    </row>
    <row r="148" spans="1:42">
      <c r="A148" s="121" t="s">
        <v>318</v>
      </c>
      <c r="B148" s="121" t="s">
        <v>319</v>
      </c>
      <c r="C148" s="121" t="s">
        <v>318</v>
      </c>
      <c r="D148" s="158">
        <f>20.196*(Logic!$D$131)</f>
        <v>20.801880000000001</v>
      </c>
      <c r="F148" s="121" t="s">
        <v>122</v>
      </c>
      <c r="G148" s="158">
        <f>86.2818*(Logic!$D$131)</f>
        <v>88.870254000000003</v>
      </c>
      <c r="AD148" s="122"/>
      <c r="AN148" s="127"/>
      <c r="AO148" s="127"/>
      <c r="AP148" s="149"/>
    </row>
    <row r="149" spans="1:42">
      <c r="A149" s="121" t="s">
        <v>316</v>
      </c>
      <c r="B149" s="121" t="s">
        <v>317</v>
      </c>
      <c r="C149" s="121" t="s">
        <v>316</v>
      </c>
      <c r="D149" s="158">
        <f>24.3984*(Logic!$D$131)</f>
        <v>25.130351999999998</v>
      </c>
      <c r="F149" s="121" t="s">
        <v>335</v>
      </c>
      <c r="G149" s="158">
        <f>86.2818*(Logic!$D$131)</f>
        <v>88.870254000000003</v>
      </c>
      <c r="AD149" s="122"/>
      <c r="AN149" s="127">
        <v>95047974</v>
      </c>
      <c r="AO149" s="127" t="s">
        <v>1290</v>
      </c>
      <c r="AP149" s="158">
        <f>1374.8376*(Logic!$D$131)</f>
        <v>1416.0827280000001</v>
      </c>
    </row>
    <row r="150" spans="1:42">
      <c r="A150" s="121" t="s">
        <v>314</v>
      </c>
      <c r="B150" s="121" t="s">
        <v>315</v>
      </c>
      <c r="C150" s="121" t="s">
        <v>314</v>
      </c>
      <c r="D150" s="158">
        <f>32.9358*(Logic!$D$131)</f>
        <v>33.923873999999998</v>
      </c>
      <c r="F150" s="121" t="s">
        <v>123</v>
      </c>
      <c r="G150" s="158">
        <f>95.5128*(Logic!$D$131)</f>
        <v>98.378184000000005</v>
      </c>
      <c r="AD150" s="122"/>
      <c r="AN150" s="127">
        <v>96300194</v>
      </c>
      <c r="AO150" s="127" t="s">
        <v>1291</v>
      </c>
      <c r="AP150" s="158">
        <f>53.346*(Logic!$D$131)</f>
        <v>54.946379999999998</v>
      </c>
    </row>
    <row r="151" spans="1:42">
      <c r="A151" s="121" t="s">
        <v>312</v>
      </c>
      <c r="B151" s="121" t="s">
        <v>313</v>
      </c>
      <c r="C151" s="121" t="s">
        <v>312</v>
      </c>
      <c r="D151" s="158">
        <f>100.7658*(Logic!$D$131)</f>
        <v>103.788774</v>
      </c>
      <c r="F151" s="121" t="s">
        <v>334</v>
      </c>
      <c r="G151" s="158">
        <f>95.5128*(Logic!$D$131)</f>
        <v>98.378184000000005</v>
      </c>
      <c r="AD151" s="122"/>
      <c r="AN151" s="127"/>
      <c r="AO151" s="127"/>
    </row>
    <row r="152" spans="1:42">
      <c r="A152" s="121" t="s">
        <v>310</v>
      </c>
      <c r="B152" s="121" t="s">
        <v>311</v>
      </c>
      <c r="C152" s="121" t="s">
        <v>310</v>
      </c>
      <c r="D152" s="158">
        <f>112.9038*(Logic!$D$131)</f>
        <v>116.290914</v>
      </c>
      <c r="F152" s="121" t="s">
        <v>124</v>
      </c>
      <c r="G152" s="158">
        <f>104.8458*(Logic!$D$131)</f>
        <v>107.991174</v>
      </c>
      <c r="AD152" s="122"/>
      <c r="AN152" s="127"/>
      <c r="AO152" s="127"/>
    </row>
    <row r="153" spans="1:42">
      <c r="A153" s="121" t="s">
        <v>307</v>
      </c>
      <c r="B153" s="121" t="s">
        <v>308</v>
      </c>
      <c r="C153" s="121" t="s">
        <v>307</v>
      </c>
      <c r="D153" s="158">
        <f>139.8726*(Logic!$D$131)</f>
        <v>144.06877800000001</v>
      </c>
      <c r="F153" s="121" t="s">
        <v>329</v>
      </c>
      <c r="G153" s="158">
        <f>104.8458*(Logic!$D$131)</f>
        <v>107.991174</v>
      </c>
      <c r="AD153" s="122"/>
      <c r="AN153" s="127"/>
      <c r="AO153" s="127"/>
    </row>
    <row r="154" spans="1:42">
      <c r="A154" s="121" t="s">
        <v>305</v>
      </c>
      <c r="B154" s="121" t="s">
        <v>306</v>
      </c>
      <c r="C154" s="121" t="s">
        <v>305</v>
      </c>
      <c r="D154" s="158">
        <f>118.626*(Logic!$D$131)</f>
        <v>122.18478</v>
      </c>
      <c r="F154" s="121" t="s">
        <v>125</v>
      </c>
      <c r="G154" s="158">
        <f>114.0666*(Logic!$D$131)</f>
        <v>117.488598</v>
      </c>
      <c r="AD154" s="122"/>
      <c r="AN154" s="127"/>
      <c r="AO154" s="127"/>
    </row>
    <row r="155" spans="1:42">
      <c r="A155" s="121" t="s">
        <v>904</v>
      </c>
      <c r="B155" s="121" t="s">
        <v>903</v>
      </c>
      <c r="C155" s="121" t="s">
        <v>904</v>
      </c>
      <c r="D155" s="158">
        <f>56.6304*(Logic!$D$131)</f>
        <v>58.329312000000002</v>
      </c>
      <c r="F155" s="121" t="s">
        <v>324</v>
      </c>
      <c r="G155" s="158">
        <f>114.0666*(Logic!$D$131)</f>
        <v>117.488598</v>
      </c>
      <c r="AD155" s="122"/>
      <c r="AN155" s="127"/>
      <c r="AO155" s="127"/>
    </row>
    <row r="156" spans="1:42">
      <c r="A156" s="121" t="s">
        <v>1032</v>
      </c>
      <c r="B156" s="121" t="s">
        <v>1033</v>
      </c>
      <c r="C156" s="121" t="s">
        <v>1032</v>
      </c>
      <c r="D156" s="158">
        <f>31.2834*(Logic!$D$131)</f>
        <v>32.221902</v>
      </c>
      <c r="F156" s="121" t="s">
        <v>126</v>
      </c>
      <c r="G156" s="158">
        <f>123.4098*(Logic!$D$131)</f>
        <v>127.11209400000001</v>
      </c>
      <c r="AD156" s="122"/>
      <c r="AN156" s="127"/>
      <c r="AO156" s="127"/>
    </row>
    <row r="157" spans="1:42">
      <c r="A157" s="121" t="s">
        <v>1034</v>
      </c>
      <c r="B157" s="121" t="s">
        <v>1035</v>
      </c>
      <c r="C157" s="121" t="s">
        <v>1034</v>
      </c>
      <c r="D157" s="158">
        <f>28.8456*(Logic!$D$131)</f>
        <v>29.710968000000001</v>
      </c>
      <c r="F157" s="121" t="s">
        <v>874</v>
      </c>
      <c r="G157" s="158">
        <f>123.4098*(Logic!$D$131)</f>
        <v>127.11209400000001</v>
      </c>
      <c r="AD157" s="122"/>
      <c r="AN157" s="127"/>
      <c r="AO157" s="127"/>
    </row>
    <row r="158" spans="1:42">
      <c r="A158" s="121" t="s">
        <v>300</v>
      </c>
      <c r="B158" s="121" t="s">
        <v>301</v>
      </c>
      <c r="C158" s="121" t="s">
        <v>300</v>
      </c>
      <c r="D158" s="158">
        <f>42.738*(Logic!$D$131)</f>
        <v>44.020139999999998</v>
      </c>
      <c r="F158" s="121" t="s">
        <v>875</v>
      </c>
      <c r="G158" s="158">
        <f>132.6306*(Logic!$D$131)</f>
        <v>136.60951799999998</v>
      </c>
      <c r="AD158" s="122"/>
      <c r="AN158" s="127"/>
      <c r="AO158" s="127"/>
    </row>
    <row r="159" spans="1:42">
      <c r="A159" s="121" t="s">
        <v>298</v>
      </c>
      <c r="B159" s="121" t="s">
        <v>299</v>
      </c>
      <c r="C159" s="121" t="s">
        <v>298</v>
      </c>
      <c r="D159" s="158">
        <f>43.197*(Logic!$D$131)</f>
        <v>44.492910000000002</v>
      </c>
      <c r="F159" s="121" t="s">
        <v>876</v>
      </c>
      <c r="G159" s="158">
        <f>160.5582*(Logic!$D$131)</f>
        <v>165.37494599999999</v>
      </c>
      <c r="AD159" s="122"/>
      <c r="AN159" s="127"/>
      <c r="AO159" s="127"/>
    </row>
    <row r="160" spans="1:42">
      <c r="A160" s="121" t="s">
        <v>296</v>
      </c>
      <c r="B160" s="121" t="s">
        <v>297</v>
      </c>
      <c r="C160" s="121" t="s">
        <v>296</v>
      </c>
      <c r="D160" s="158">
        <f>47.8788*(Logic!$D$131)</f>
        <v>49.315164000000003</v>
      </c>
      <c r="F160" s="121" t="s">
        <v>877</v>
      </c>
      <c r="G160" s="158">
        <f>179.112*(Logic!$D$131)</f>
        <v>184.48535999999999</v>
      </c>
      <c r="AD160" s="122"/>
      <c r="AN160" s="127"/>
      <c r="AO160" s="127"/>
    </row>
    <row r="161" spans="1:41">
      <c r="A161" s="91" t="s">
        <v>294</v>
      </c>
      <c r="B161" s="121" t="s">
        <v>295</v>
      </c>
      <c r="C161" s="91" t="s">
        <v>294</v>
      </c>
      <c r="D161" s="158">
        <f>72.1548*(Logic!$D$131)</f>
        <v>74.31944399999999</v>
      </c>
      <c r="F161" s="121" t="s">
        <v>878</v>
      </c>
      <c r="G161" s="158">
        <f>0*(Logic!$D$131)</f>
        <v>0</v>
      </c>
      <c r="AD161" s="122"/>
      <c r="AN161" s="127"/>
      <c r="AO161" s="127"/>
    </row>
    <row r="162" spans="1:41">
      <c r="A162" s="121" t="s">
        <v>292</v>
      </c>
      <c r="B162" s="121" t="s">
        <v>293</v>
      </c>
      <c r="C162" s="121" t="s">
        <v>292</v>
      </c>
      <c r="D162" s="158">
        <f>55.692*(Logic!$D$131)</f>
        <v>57.362760000000002</v>
      </c>
      <c r="F162" s="121" t="s">
        <v>309</v>
      </c>
      <c r="G162" s="158">
        <f>18.105*(Logic!$D$131)</f>
        <v>18.648150000000001</v>
      </c>
      <c r="AD162" s="122"/>
      <c r="AN162" s="127"/>
      <c r="AO162" s="127"/>
    </row>
    <row r="163" spans="1:41">
      <c r="A163" s="121" t="s">
        <v>290</v>
      </c>
      <c r="B163" s="121" t="s">
        <v>291</v>
      </c>
      <c r="C163" s="121" t="s">
        <v>290</v>
      </c>
      <c r="D163" s="158">
        <f>58.3848*(Logic!$D$131)</f>
        <v>60.136344000000001</v>
      </c>
      <c r="F163" s="121" t="s">
        <v>304</v>
      </c>
      <c r="G163" s="158">
        <f>-6.3036*(Logic!$D$131)</f>
        <v>-6.4927080000000004</v>
      </c>
      <c r="AD163" s="122"/>
      <c r="AN163" s="127"/>
      <c r="AO163" s="127"/>
    </row>
    <row r="164" spans="1:41">
      <c r="A164" s="121" t="s">
        <v>288</v>
      </c>
      <c r="B164" s="121" t="s">
        <v>289</v>
      </c>
      <c r="C164" s="121" t="s">
        <v>288</v>
      </c>
      <c r="D164" s="158">
        <f>62.6892*(Logic!$D$131)</f>
        <v>64.569876000000008</v>
      </c>
      <c r="F164" s="121" t="s">
        <v>303</v>
      </c>
      <c r="G164" s="158">
        <f>-6.3036*(Logic!$D$131)</f>
        <v>-6.4927080000000004</v>
      </c>
      <c r="AD164" s="122"/>
    </row>
    <row r="165" spans="1:41">
      <c r="A165" s="121" t="s">
        <v>285</v>
      </c>
      <c r="B165" s="121" t="s">
        <v>286</v>
      </c>
      <c r="C165" s="121" t="s">
        <v>285</v>
      </c>
      <c r="D165" s="158">
        <f>114.8826*(Logic!$D$131)</f>
        <v>118.329078</v>
      </c>
      <c r="F165" s="121" t="s">
        <v>302</v>
      </c>
      <c r="G165" s="158">
        <f>0*(Logic!$D$131)</f>
        <v>0</v>
      </c>
      <c r="AD165" s="122"/>
    </row>
    <row r="166" spans="1:41">
      <c r="A166" s="121" t="s">
        <v>282</v>
      </c>
      <c r="B166" s="121" t="s">
        <v>283</v>
      </c>
      <c r="C166" s="121" t="s">
        <v>282</v>
      </c>
      <c r="D166" s="158">
        <f>47.2872*(Logic!$D$131)</f>
        <v>48.705815999999999</v>
      </c>
      <c r="F166" s="121" t="s">
        <v>0</v>
      </c>
      <c r="G166" s="158">
        <f>0*(Logic!$D$131)</f>
        <v>0</v>
      </c>
      <c r="AD166" s="122"/>
    </row>
    <row r="167" spans="1:41">
      <c r="A167" s="121" t="s">
        <v>280</v>
      </c>
      <c r="B167" s="121" t="s">
        <v>281</v>
      </c>
      <c r="C167" s="121" t="s">
        <v>280</v>
      </c>
      <c r="D167" s="158">
        <f>56.508*(Logic!$D$131)</f>
        <v>58.203240000000001</v>
      </c>
      <c r="F167" s="121" t="s">
        <v>1</v>
      </c>
      <c r="G167" s="158">
        <f>0*(Logic!$D$131)</f>
        <v>0</v>
      </c>
      <c r="AD167" s="122"/>
    </row>
    <row r="168" spans="1:41">
      <c r="A168" s="121" t="s">
        <v>277</v>
      </c>
      <c r="B168" s="121" t="s">
        <v>278</v>
      </c>
      <c r="C168" s="121" t="s">
        <v>277</v>
      </c>
      <c r="D168" s="158">
        <f>58.9662*(Logic!$D$131)</f>
        <v>60.735185999999999</v>
      </c>
      <c r="F168" s="121" t="s">
        <v>2</v>
      </c>
      <c r="G168" s="158">
        <f>1.6218*(Logic!$D$131)</f>
        <v>1.6704539999999999</v>
      </c>
      <c r="AD168" s="122"/>
    </row>
    <row r="169" spans="1:41">
      <c r="A169" s="121" t="s">
        <v>275</v>
      </c>
      <c r="B169" s="121" t="s">
        <v>276</v>
      </c>
      <c r="C169" s="121" t="s">
        <v>275</v>
      </c>
      <c r="D169" s="158">
        <f>45.4104*(Logic!$D$131)</f>
        <v>46.772712000000006</v>
      </c>
      <c r="F169" s="121" t="s">
        <v>119</v>
      </c>
      <c r="G169" s="158">
        <f>5.0184*(Logic!$D$131)</f>
        <v>5.168952</v>
      </c>
      <c r="AD169" s="122"/>
    </row>
    <row r="170" spans="1:41">
      <c r="A170" s="121" t="s">
        <v>272</v>
      </c>
      <c r="B170" s="121" t="s">
        <v>273</v>
      </c>
      <c r="C170" s="121" t="s">
        <v>272</v>
      </c>
      <c r="D170" s="158">
        <f>51.0204*(Logic!$D$131)</f>
        <v>52.551012000000007</v>
      </c>
      <c r="F170" s="121" t="s">
        <v>120</v>
      </c>
      <c r="G170" s="158">
        <f>6.6504*(Logic!$D$131)</f>
        <v>6.8499120000000007</v>
      </c>
      <c r="AD170" s="122"/>
    </row>
    <row r="171" spans="1:41">
      <c r="A171" s="121" t="s">
        <v>268</v>
      </c>
      <c r="B171" s="121" t="s">
        <v>269</v>
      </c>
      <c r="C171" s="121" t="s">
        <v>268</v>
      </c>
      <c r="D171" s="158">
        <f>0*(Logic!$D$131)</f>
        <v>0</v>
      </c>
      <c r="F171" s="121" t="s">
        <v>3</v>
      </c>
      <c r="G171" s="158">
        <f>9.9246*(Logic!$D$131)</f>
        <v>10.222338000000001</v>
      </c>
      <c r="AD171" s="122"/>
    </row>
    <row r="172" spans="1:41">
      <c r="A172" s="121" t="s">
        <v>266</v>
      </c>
      <c r="B172" s="121" t="s">
        <v>267</v>
      </c>
      <c r="C172" s="121" t="s">
        <v>266</v>
      </c>
      <c r="D172" s="158">
        <f>0*(Logic!$D$131)</f>
        <v>0</v>
      </c>
      <c r="F172" s="121" t="s">
        <v>4</v>
      </c>
      <c r="G172" s="158">
        <f>13.3008*(Logic!$D$131)</f>
        <v>13.699824000000001</v>
      </c>
      <c r="AD172" s="122"/>
    </row>
    <row r="173" spans="1:41">
      <c r="A173" s="121" t="s">
        <v>264</v>
      </c>
      <c r="B173" s="121" t="s">
        <v>265</v>
      </c>
      <c r="C173" s="121" t="s">
        <v>264</v>
      </c>
      <c r="D173" s="158">
        <f>0*(Logic!$D$131)</f>
        <v>0</v>
      </c>
      <c r="F173" s="121" t="s">
        <v>5</v>
      </c>
      <c r="G173" s="158">
        <f>16.5954*(Logic!$D$131)</f>
        <v>17.093262000000003</v>
      </c>
      <c r="AD173" s="122"/>
    </row>
    <row r="174" spans="1:41">
      <c r="A174" s="121" t="s">
        <v>262</v>
      </c>
      <c r="B174" s="121" t="s">
        <v>263</v>
      </c>
      <c r="C174" s="121" t="s">
        <v>262</v>
      </c>
      <c r="D174" s="158">
        <f>0*(Logic!$D$131)</f>
        <v>0</v>
      </c>
      <c r="F174" s="121" t="s">
        <v>6</v>
      </c>
      <c r="G174" s="158">
        <f>19.9614*(Logic!$D$131)</f>
        <v>20.560242000000002</v>
      </c>
      <c r="AD174" s="122"/>
    </row>
    <row r="175" spans="1:41">
      <c r="A175" s="121" t="s">
        <v>259</v>
      </c>
      <c r="B175" s="121" t="s">
        <v>260</v>
      </c>
      <c r="C175" s="121" t="s">
        <v>259</v>
      </c>
      <c r="D175" s="158">
        <f>0*(Logic!$D$131)</f>
        <v>0</v>
      </c>
      <c r="F175" s="121" t="s">
        <v>7</v>
      </c>
      <c r="G175" s="158">
        <f>23.2458*(Logic!$D$131)</f>
        <v>23.943173999999999</v>
      </c>
      <c r="AD175" s="122"/>
    </row>
    <row r="176" spans="1:41">
      <c r="A176" s="121" t="s">
        <v>255</v>
      </c>
      <c r="B176" s="121" t="s">
        <v>256</v>
      </c>
      <c r="C176" s="121" t="s">
        <v>255</v>
      </c>
      <c r="D176" s="158">
        <f>102.1632*(Logic!$D$131)</f>
        <v>105.22809600000001</v>
      </c>
      <c r="F176" s="121" t="s">
        <v>879</v>
      </c>
      <c r="G176" s="158">
        <f>26.4996*(Logic!$D$131)</f>
        <v>27.294588000000001</v>
      </c>
      <c r="AD176" s="122"/>
    </row>
    <row r="177" spans="1:30">
      <c r="A177" s="121" t="s">
        <v>252</v>
      </c>
      <c r="B177" s="121" t="s">
        <v>253</v>
      </c>
      <c r="C177" s="121" t="s">
        <v>252</v>
      </c>
      <c r="D177" s="158">
        <f>108.8238*(Logic!$D$131)</f>
        <v>112.088514</v>
      </c>
      <c r="F177" s="121" t="s">
        <v>880</v>
      </c>
      <c r="G177" s="158">
        <f>29.8962*(Logic!$D$131)</f>
        <v>30.793086000000002</v>
      </c>
      <c r="AD177" s="122"/>
    </row>
    <row r="178" spans="1:30">
      <c r="A178" s="121" t="s">
        <v>249</v>
      </c>
      <c r="B178" s="121" t="s">
        <v>250</v>
      </c>
      <c r="C178" s="121" t="s">
        <v>249</v>
      </c>
      <c r="D178" s="158">
        <f>95.5128*(Logic!$D$131)</f>
        <v>98.378184000000005</v>
      </c>
      <c r="F178" s="121" t="s">
        <v>8</v>
      </c>
      <c r="G178" s="158">
        <f>29.8962*(Logic!$D$131)</f>
        <v>30.793086000000002</v>
      </c>
      <c r="AD178" s="122"/>
    </row>
    <row r="179" spans="1:30">
      <c r="A179" s="121" t="s">
        <v>246</v>
      </c>
      <c r="B179" s="121" t="s">
        <v>247</v>
      </c>
      <c r="C179" s="121" t="s">
        <v>246</v>
      </c>
      <c r="D179" s="158">
        <f>104.8458*(Logic!$D$131)</f>
        <v>107.991174</v>
      </c>
      <c r="F179" s="121" t="s">
        <v>1008</v>
      </c>
      <c r="G179" s="158">
        <f>33.1602*(Logic!$D$131)</f>
        <v>34.155006000000007</v>
      </c>
      <c r="AD179" s="122"/>
    </row>
    <row r="180" spans="1:30">
      <c r="A180" s="121" t="s">
        <v>243</v>
      </c>
      <c r="B180" s="121" t="s">
        <v>244</v>
      </c>
      <c r="C180" s="121" t="s">
        <v>243</v>
      </c>
      <c r="D180" s="158">
        <f>108.8238*(Logic!$D$131)</f>
        <v>112.088514</v>
      </c>
      <c r="F180" s="121" t="s">
        <v>9</v>
      </c>
      <c r="G180" s="158">
        <f>36.5466*(Logic!$D$131)</f>
        <v>37.642997999999999</v>
      </c>
      <c r="AD180" s="122"/>
    </row>
    <row r="181" spans="1:30">
      <c r="A181" s="121" t="s">
        <v>240</v>
      </c>
      <c r="B181" s="121" t="s">
        <v>241</v>
      </c>
      <c r="C181" s="121" t="s">
        <v>240</v>
      </c>
      <c r="D181" s="158">
        <f>105.3252*(Logic!$D$131)</f>
        <v>108.484956</v>
      </c>
      <c r="F181" s="121" t="s">
        <v>274</v>
      </c>
      <c r="G181" s="158">
        <f>39.8004*(Logic!$D$131)</f>
        <v>40.994412000000004</v>
      </c>
      <c r="AD181" s="122"/>
    </row>
    <row r="182" spans="1:30">
      <c r="A182" s="121" t="s">
        <v>237</v>
      </c>
      <c r="B182" s="121" t="s">
        <v>238</v>
      </c>
      <c r="C182" s="121" t="s">
        <v>237</v>
      </c>
      <c r="D182" s="158">
        <f>26.1426*(Logic!$D$131)</f>
        <v>26.926878000000002</v>
      </c>
      <c r="F182" s="121" t="s">
        <v>10</v>
      </c>
      <c r="G182" s="158">
        <f>43.0848*(Logic!$D$131)</f>
        <v>44.377344000000001</v>
      </c>
      <c r="AD182" s="122"/>
    </row>
    <row r="183" spans="1:30">
      <c r="A183" s="121" t="s">
        <v>234</v>
      </c>
      <c r="B183" s="121" t="s">
        <v>235</v>
      </c>
      <c r="C183" s="121" t="s">
        <v>234</v>
      </c>
      <c r="D183" s="158">
        <f>155.295*(Logic!$D$131)</f>
        <v>159.95384999999999</v>
      </c>
      <c r="F183" s="121" t="s">
        <v>11</v>
      </c>
      <c r="G183" s="158">
        <f>46.4712*(Logic!$D$131)</f>
        <v>47.865336000000006</v>
      </c>
      <c r="AD183" s="122"/>
    </row>
    <row r="184" spans="1:30">
      <c r="A184" s="121" t="s">
        <v>231</v>
      </c>
      <c r="B184" s="121" t="s">
        <v>232</v>
      </c>
      <c r="C184" s="121" t="s">
        <v>231</v>
      </c>
      <c r="D184" s="158">
        <f>135.3234*(Logic!$D$131)</f>
        <v>139.38310200000001</v>
      </c>
      <c r="F184" s="121" t="s">
        <v>1003</v>
      </c>
      <c r="G184" s="158">
        <f>49.7454*(Logic!$D$131)</f>
        <v>51.237761999999996</v>
      </c>
      <c r="AD184" s="122"/>
    </row>
    <row r="185" spans="1:30">
      <c r="A185" s="121" t="s">
        <v>228</v>
      </c>
      <c r="B185" s="121" t="s">
        <v>229</v>
      </c>
      <c r="C185" s="121" t="s">
        <v>228</v>
      </c>
      <c r="D185" s="158">
        <f>86.2818*(Logic!$D$131)</f>
        <v>88.870254000000003</v>
      </c>
      <c r="F185" s="121" t="s">
        <v>12</v>
      </c>
      <c r="G185" s="158">
        <f>56.3958*(Logic!$D$131)</f>
        <v>58.087674</v>
      </c>
      <c r="AD185" s="122"/>
    </row>
    <row r="186" spans="1:30">
      <c r="A186" s="121" t="s">
        <v>225</v>
      </c>
      <c r="B186" s="121" t="s">
        <v>226</v>
      </c>
      <c r="C186" s="121" t="s">
        <v>225</v>
      </c>
      <c r="D186" s="158">
        <f>396.7392*(Logic!$D$131)</f>
        <v>408.64137599999998</v>
      </c>
      <c r="F186" s="121" t="s">
        <v>271</v>
      </c>
      <c r="G186" s="158">
        <f>63.0462*(Logic!$D$131)</f>
        <v>64.937585999999996</v>
      </c>
      <c r="AD186" s="122"/>
    </row>
    <row r="187" spans="1:30">
      <c r="A187" s="121" t="s">
        <v>222</v>
      </c>
      <c r="B187" s="121" t="s">
        <v>223</v>
      </c>
      <c r="C187" s="121" t="s">
        <v>222</v>
      </c>
      <c r="D187" s="158">
        <f>396.5148*(Logic!$D$131)</f>
        <v>408.41024399999998</v>
      </c>
      <c r="F187" s="121" t="s">
        <v>270</v>
      </c>
      <c r="G187" s="158">
        <f>76.245*(Logic!$D$131)</f>
        <v>78.532350000000008</v>
      </c>
      <c r="AD187" s="122"/>
    </row>
    <row r="188" spans="1:30">
      <c r="A188" s="121" t="s">
        <v>219</v>
      </c>
      <c r="B188" s="121" t="s">
        <v>220</v>
      </c>
      <c r="C188" s="121" t="s">
        <v>219</v>
      </c>
      <c r="D188" s="158">
        <f>272.5134*(Logic!$D$131)</f>
        <v>280.68880200000001</v>
      </c>
      <c r="F188" s="121" t="s">
        <v>261</v>
      </c>
      <c r="G188" s="158">
        <f>0*(Logic!$D$131)</f>
        <v>0</v>
      </c>
      <c r="AD188" s="122"/>
    </row>
    <row r="189" spans="1:30">
      <c r="A189" s="121" t="s">
        <v>216</v>
      </c>
      <c r="B189" s="121" t="s">
        <v>217</v>
      </c>
      <c r="C189" s="121" t="s">
        <v>216</v>
      </c>
      <c r="D189" s="158">
        <f>0*(Logic!$D$131)</f>
        <v>0</v>
      </c>
      <c r="F189" s="121" t="s">
        <v>258</v>
      </c>
      <c r="G189" s="158">
        <f>0*(Logic!$D$131)</f>
        <v>0</v>
      </c>
      <c r="AD189" s="122"/>
    </row>
    <row r="190" spans="1:30">
      <c r="A190" s="121" t="s">
        <v>213</v>
      </c>
      <c r="B190" s="121" t="s">
        <v>214</v>
      </c>
      <c r="C190" s="121" t="s">
        <v>213</v>
      </c>
      <c r="D190" s="158">
        <f>15.1674*(Logic!$D$131)</f>
        <v>15.622422</v>
      </c>
      <c r="F190" s="121" t="s">
        <v>257</v>
      </c>
      <c r="G190" s="158">
        <f>0*(Logic!$D$131)</f>
        <v>0</v>
      </c>
      <c r="AD190" s="122"/>
    </row>
    <row r="191" spans="1:30">
      <c r="A191" s="121" t="s">
        <v>210</v>
      </c>
      <c r="B191" s="121" t="s">
        <v>211</v>
      </c>
      <c r="C191" s="121" t="s">
        <v>210</v>
      </c>
      <c r="D191" s="158">
        <f>22.5318*(Logic!$D$131)</f>
        <v>23.207754000000001</v>
      </c>
      <c r="F191" s="121" t="s">
        <v>254</v>
      </c>
      <c r="G191" s="158">
        <f>0*(Logic!$D$131)</f>
        <v>0</v>
      </c>
      <c r="AD191" s="122"/>
    </row>
    <row r="192" spans="1:30">
      <c r="A192" s="121" t="s">
        <v>1058</v>
      </c>
      <c r="B192" s="121" t="s">
        <v>1055</v>
      </c>
      <c r="C192" s="121" t="s">
        <v>1058</v>
      </c>
      <c r="D192" s="158">
        <f>170.034*(Logic!$D$131)</f>
        <v>175.13502</v>
      </c>
      <c r="F192" s="121" t="s">
        <v>251</v>
      </c>
      <c r="G192" s="158">
        <f>0*(Logic!$D$131)</f>
        <v>0</v>
      </c>
      <c r="AD192" s="122"/>
    </row>
    <row r="193" spans="1:30">
      <c r="A193" s="121" t="s">
        <v>206</v>
      </c>
      <c r="B193" s="121" t="s">
        <v>207</v>
      </c>
      <c r="C193" s="121" t="s">
        <v>206</v>
      </c>
      <c r="D193" s="158">
        <f>8108.796*(Logic!$D$131)</f>
        <v>8352.0598800000007</v>
      </c>
      <c r="F193" s="121" t="s">
        <v>248</v>
      </c>
      <c r="G193" s="158">
        <f>0*(Logic!$D$131)</f>
        <v>0</v>
      </c>
      <c r="AD193" s="122"/>
    </row>
    <row r="194" spans="1:30">
      <c r="A194" s="121" t="s">
        <v>204</v>
      </c>
      <c r="B194" s="121" t="s">
        <v>205</v>
      </c>
      <c r="C194" s="121" t="s">
        <v>204</v>
      </c>
      <c r="D194" s="158">
        <f>3614.268*(Logic!$D$131)</f>
        <v>3722.6960400000003</v>
      </c>
      <c r="F194" s="121" t="s">
        <v>245</v>
      </c>
      <c r="G194" s="158">
        <f>0*(Logic!$D$131)</f>
        <v>0</v>
      </c>
      <c r="AD194" s="122"/>
    </row>
    <row r="195" spans="1:30">
      <c r="A195" s="121" t="s">
        <v>202</v>
      </c>
      <c r="B195" s="121" t="s">
        <v>203</v>
      </c>
      <c r="C195" s="121" t="s">
        <v>202</v>
      </c>
      <c r="D195" s="158">
        <f>0*(Logic!$D$131)</f>
        <v>0</v>
      </c>
      <c r="F195" s="121" t="s">
        <v>242</v>
      </c>
      <c r="G195" s="158">
        <f>0*(Logic!$D$131)</f>
        <v>0</v>
      </c>
      <c r="AD195" s="122"/>
    </row>
    <row r="196" spans="1:30">
      <c r="A196" s="121" t="s">
        <v>200</v>
      </c>
      <c r="B196" s="121" t="s">
        <v>201</v>
      </c>
      <c r="C196" s="121" t="s">
        <v>200</v>
      </c>
      <c r="D196" s="158">
        <f>0*(Logic!$D$131)</f>
        <v>0</v>
      </c>
      <c r="F196" s="121" t="s">
        <v>239</v>
      </c>
      <c r="G196" s="158">
        <f>0*(Logic!$D$131)</f>
        <v>0</v>
      </c>
      <c r="AD196" s="122"/>
    </row>
    <row r="197" spans="1:30">
      <c r="A197" s="121" t="s">
        <v>198</v>
      </c>
      <c r="B197" s="121" t="s">
        <v>199</v>
      </c>
      <c r="C197" s="121" t="s">
        <v>198</v>
      </c>
      <c r="D197" s="158">
        <f>0*(Logic!$D$131)</f>
        <v>0</v>
      </c>
      <c r="F197" s="121" t="s">
        <v>236</v>
      </c>
      <c r="G197" s="158">
        <f>0*(Logic!$D$131)</f>
        <v>0</v>
      </c>
      <c r="AD197" s="122"/>
    </row>
    <row r="198" spans="1:30">
      <c r="A198" s="121" t="s">
        <v>196</v>
      </c>
      <c r="B198" s="121" t="s">
        <v>197</v>
      </c>
      <c r="C198" s="121" t="s">
        <v>196</v>
      </c>
      <c r="D198" s="158">
        <f>0*(Logic!$D$131)</f>
        <v>0</v>
      </c>
      <c r="F198" s="121" t="s">
        <v>233</v>
      </c>
      <c r="G198" s="158">
        <f>0*(Logic!$D$131)</f>
        <v>0</v>
      </c>
      <c r="AD198" s="122"/>
    </row>
    <row r="199" spans="1:30">
      <c r="A199" s="83" t="s">
        <v>1027</v>
      </c>
      <c r="C199" s="83" t="s">
        <v>1027</v>
      </c>
      <c r="D199" s="158">
        <f>3974.8074*(Logic!$D$131)</f>
        <v>4094.0516220000004</v>
      </c>
      <c r="F199" s="121" t="s">
        <v>230</v>
      </c>
      <c r="G199" s="158">
        <f>15.1674*(Logic!$D$131)</f>
        <v>15.622422</v>
      </c>
      <c r="AD199" s="122"/>
    </row>
    <row r="200" spans="1:30">
      <c r="A200" s="83" t="s">
        <v>1028</v>
      </c>
      <c r="C200" s="83" t="s">
        <v>1028</v>
      </c>
      <c r="D200" s="158">
        <f>20591.5764*(Logic!$D$131)</f>
        <v>21209.323692000002</v>
      </c>
      <c r="F200" s="121" t="s">
        <v>227</v>
      </c>
      <c r="G200" s="158">
        <f>58.2624*(Logic!$D$131)</f>
        <v>60.010272000000001</v>
      </c>
      <c r="AD200" s="122"/>
    </row>
    <row r="201" spans="1:30">
      <c r="A201" s="159" t="s">
        <v>1317</v>
      </c>
      <c r="B201" s="130" t="s">
        <v>1318</v>
      </c>
      <c r="C201" s="130" t="s">
        <v>1317</v>
      </c>
      <c r="D201" s="158">
        <f>0*(Logic!$D$131)</f>
        <v>0</v>
      </c>
      <c r="F201" s="121" t="s">
        <v>224</v>
      </c>
      <c r="G201" s="158">
        <f>4.3146*(Logic!$D$131)</f>
        <v>4.4440380000000008</v>
      </c>
      <c r="AD201" s="122"/>
    </row>
    <row r="202" spans="1:30">
      <c r="D202" s="150"/>
      <c r="F202" s="121" t="s">
        <v>221</v>
      </c>
      <c r="G202" s="158">
        <f>15.2898*(Logic!$D$131)</f>
        <v>15.748494000000001</v>
      </c>
      <c r="AD202" s="122"/>
    </row>
    <row r="203" spans="1:30">
      <c r="F203" s="121" t="s">
        <v>218</v>
      </c>
      <c r="G203" s="158">
        <f>38.2908*(Logic!$D$131)</f>
        <v>39.439523999999999</v>
      </c>
      <c r="AD203" s="122"/>
    </row>
    <row r="204" spans="1:30">
      <c r="F204" s="134" t="s">
        <v>215</v>
      </c>
      <c r="G204" s="158">
        <f>6.0792*(Logic!$D$131)</f>
        <v>6.2615760000000007</v>
      </c>
      <c r="AD204" s="122"/>
    </row>
    <row r="205" spans="1:30">
      <c r="F205" s="121" t="s">
        <v>212</v>
      </c>
      <c r="G205" s="158">
        <f>6.0792*(Logic!$D$131)</f>
        <v>6.2615760000000007</v>
      </c>
      <c r="AD205" s="122"/>
    </row>
    <row r="206" spans="1:30">
      <c r="F206" s="121" t="s">
        <v>209</v>
      </c>
      <c r="G206" s="158">
        <f>11.4342*(Logic!$D$131)</f>
        <v>11.777226000000001</v>
      </c>
      <c r="AD206" s="122"/>
    </row>
    <row r="207" spans="1:30">
      <c r="F207" s="134" t="s">
        <v>208</v>
      </c>
      <c r="G207" s="158">
        <f>11.4342*(Logic!$D$131)</f>
        <v>11.777226000000001</v>
      </c>
      <c r="AD207" s="122"/>
    </row>
    <row r="208" spans="1:30">
      <c r="F208" s="123" t="s">
        <v>723</v>
      </c>
      <c r="G208" s="158">
        <f>0*(Logic!$D$131)</f>
        <v>0</v>
      </c>
      <c r="AD208" s="122"/>
    </row>
    <row r="209" spans="6:30">
      <c r="F209" s="123" t="s">
        <v>724</v>
      </c>
      <c r="G209" s="158">
        <f>0*(Logic!$D$131)</f>
        <v>0</v>
      </c>
      <c r="AD209" s="122"/>
    </row>
    <row r="210" spans="6:30">
      <c r="F210" s="123" t="s">
        <v>725</v>
      </c>
      <c r="G210" s="158">
        <f>2.6826*(Logic!$D$131)</f>
        <v>2.7630780000000001</v>
      </c>
      <c r="AD210" s="122"/>
    </row>
    <row r="211" spans="6:30">
      <c r="F211" s="123" t="s">
        <v>726</v>
      </c>
      <c r="G211" s="158">
        <f>5.2632*(Logic!$D$131)</f>
        <v>5.4210960000000004</v>
      </c>
      <c r="AD211" s="122"/>
    </row>
    <row r="212" spans="6:30">
      <c r="F212" s="123" t="s">
        <v>727</v>
      </c>
      <c r="G212" s="158">
        <f>21.2568*(Logic!$D$131)</f>
        <v>21.894503999999998</v>
      </c>
      <c r="AD212" s="122"/>
    </row>
    <row r="213" spans="6:30">
      <c r="F213" s="123" t="s">
        <v>728</v>
      </c>
      <c r="G213" s="158">
        <f>29.1924*(Logic!$D$131)</f>
        <v>30.068172000000001</v>
      </c>
      <c r="AD213" s="122"/>
    </row>
    <row r="214" spans="6:30">
      <c r="F214" s="123" t="s">
        <v>729</v>
      </c>
      <c r="G214" s="158">
        <f>37.128*(Logic!$D$131)</f>
        <v>38.241840000000003</v>
      </c>
      <c r="AD214" s="122"/>
    </row>
    <row r="215" spans="6:30">
      <c r="F215" s="121" t="s">
        <v>195</v>
      </c>
      <c r="G215" s="158">
        <f>0*(Logic!$D$131)</f>
        <v>0</v>
      </c>
      <c r="AD215" s="122"/>
    </row>
    <row r="216" spans="6:30">
      <c r="F216" s="121" t="s">
        <v>194</v>
      </c>
      <c r="G216" s="158">
        <f>14.0148*(Logic!$D$131)</f>
        <v>14.435243999999999</v>
      </c>
      <c r="AD216" s="122"/>
    </row>
    <row r="217" spans="6:30">
      <c r="F217" s="121" t="s">
        <v>193</v>
      </c>
      <c r="G217" s="158">
        <f>27.5604*(Logic!$D$131)</f>
        <v>28.387212000000002</v>
      </c>
      <c r="AD217" s="122"/>
    </row>
    <row r="218" spans="6:30">
      <c r="F218" s="121" t="s">
        <v>192</v>
      </c>
      <c r="G218" s="158">
        <f>74.4906*(Logic!$D$131)</f>
        <v>76.725318000000001</v>
      </c>
      <c r="AD218" s="122"/>
    </row>
    <row r="219" spans="6:30">
      <c r="F219" s="121" t="s">
        <v>191</v>
      </c>
      <c r="G219" s="158">
        <f>0*(Logic!$D$131)</f>
        <v>0</v>
      </c>
      <c r="AD219" s="122"/>
    </row>
    <row r="220" spans="6:30">
      <c r="F220" s="121" t="s">
        <v>78</v>
      </c>
      <c r="G220" s="158">
        <f>0*(Logic!$D$131)</f>
        <v>0</v>
      </c>
      <c r="AD220" s="122"/>
    </row>
    <row r="221" spans="6:30">
      <c r="F221" s="121" t="s">
        <v>190</v>
      </c>
      <c r="G221" s="158">
        <f>1.2852*(Logic!$D$131)</f>
        <v>1.3237559999999999</v>
      </c>
      <c r="AD221" s="122"/>
    </row>
    <row r="222" spans="6:30">
      <c r="F222" s="121" t="s">
        <v>79</v>
      </c>
      <c r="G222" s="158">
        <f>1.2852*(Logic!$D$131)</f>
        <v>1.3237559999999999</v>
      </c>
      <c r="AD222" s="122"/>
    </row>
    <row r="223" spans="6:30">
      <c r="F223" s="121" t="s">
        <v>80</v>
      </c>
      <c r="G223" s="158">
        <f>1.6218*(Logic!$D$131)</f>
        <v>1.6704539999999999</v>
      </c>
      <c r="AD223" s="122"/>
    </row>
    <row r="224" spans="6:30">
      <c r="F224" s="121" t="s">
        <v>189</v>
      </c>
      <c r="G224" s="158">
        <f>2.2236*(Logic!$D$131)</f>
        <v>2.290308</v>
      </c>
      <c r="AD224" s="122"/>
    </row>
    <row r="225" spans="6:30">
      <c r="F225" s="121" t="s">
        <v>188</v>
      </c>
      <c r="G225" s="158">
        <f>2.2236*(Logic!$D$131)</f>
        <v>2.290308</v>
      </c>
      <c r="AD225" s="122"/>
    </row>
    <row r="226" spans="6:30">
      <c r="F226" s="121" t="s">
        <v>187</v>
      </c>
      <c r="G226" s="158">
        <f>2.5806*(Logic!$D$131)</f>
        <v>2.6580180000000002</v>
      </c>
      <c r="AD226" s="122"/>
    </row>
    <row r="227" spans="6:30">
      <c r="F227" s="121" t="s">
        <v>186</v>
      </c>
      <c r="G227" s="158">
        <f>2.5806*(Logic!$D$131)</f>
        <v>2.6580180000000002</v>
      </c>
      <c r="AD227" s="122"/>
    </row>
    <row r="228" spans="6:30">
      <c r="F228" s="121" t="s">
        <v>81</v>
      </c>
      <c r="G228" s="158">
        <f>2.5806*(Logic!$D$131)</f>
        <v>2.6580180000000002</v>
      </c>
      <c r="AD228" s="122"/>
    </row>
    <row r="229" spans="6:30">
      <c r="F229" s="121" t="s">
        <v>185</v>
      </c>
      <c r="G229" s="158">
        <f>2.5806*(Logic!$D$131)</f>
        <v>2.6580180000000002</v>
      </c>
      <c r="AD229" s="122"/>
    </row>
    <row r="230" spans="6:30">
      <c r="F230" s="121" t="s">
        <v>184</v>
      </c>
      <c r="G230" s="158">
        <f>0*(Logic!$D$131)</f>
        <v>0</v>
      </c>
      <c r="AD230" s="122"/>
    </row>
    <row r="231" spans="6:30">
      <c r="F231" s="121" t="s">
        <v>82</v>
      </c>
      <c r="G231" s="158">
        <f>0*(Logic!$D$131)</f>
        <v>0</v>
      </c>
      <c r="AD231" s="122"/>
    </row>
    <row r="232" spans="6:30">
      <c r="F232" s="121" t="s">
        <v>83</v>
      </c>
      <c r="G232" s="158">
        <f>1.2852*(Logic!$D$131)</f>
        <v>1.3237559999999999</v>
      </c>
      <c r="AD232" s="122"/>
    </row>
    <row r="233" spans="6:30">
      <c r="F233" s="121" t="s">
        <v>84</v>
      </c>
      <c r="G233" s="158">
        <f>1.9788*(Logic!$D$131)</f>
        <v>2.0381640000000001</v>
      </c>
      <c r="AD233" s="122"/>
    </row>
    <row r="234" spans="6:30">
      <c r="F234" s="121" t="s">
        <v>85</v>
      </c>
      <c r="G234" s="158">
        <f>0*(Logic!$D$131)</f>
        <v>0</v>
      </c>
      <c r="AD234" s="122"/>
    </row>
    <row r="235" spans="6:30">
      <c r="F235" s="121" t="s">
        <v>86</v>
      </c>
      <c r="G235" s="158">
        <f>1.2852*(Logic!$D$131)</f>
        <v>1.3237559999999999</v>
      </c>
      <c r="AD235" s="122"/>
    </row>
    <row r="236" spans="6:30">
      <c r="F236" s="121" t="s">
        <v>183</v>
      </c>
      <c r="G236" s="158">
        <f>0*(Logic!$D$131)</f>
        <v>0</v>
      </c>
      <c r="AD236" s="122"/>
    </row>
    <row r="237" spans="6:30">
      <c r="F237" s="121" t="s">
        <v>182</v>
      </c>
      <c r="G237" s="158">
        <f>0*(Logic!$D$131)</f>
        <v>0</v>
      </c>
      <c r="AD237" s="122"/>
    </row>
    <row r="238" spans="6:30">
      <c r="F238" s="121" t="s">
        <v>88</v>
      </c>
      <c r="G238" s="158">
        <f>0*(Logic!$D$131)</f>
        <v>0</v>
      </c>
      <c r="AD238" s="122"/>
    </row>
    <row r="239" spans="6:30">
      <c r="F239" s="121" t="s">
        <v>181</v>
      </c>
      <c r="G239" s="158">
        <f>0*(Logic!$D$131)</f>
        <v>0</v>
      </c>
      <c r="AD239" s="122"/>
    </row>
    <row r="240" spans="6:30">
      <c r="F240" s="121" t="s">
        <v>89</v>
      </c>
      <c r="G240" s="158">
        <f>0*(Logic!$D$131)</f>
        <v>0</v>
      </c>
      <c r="AD240" s="122"/>
    </row>
    <row r="241" spans="6:30">
      <c r="F241" s="121" t="s">
        <v>90</v>
      </c>
      <c r="G241" s="158">
        <f>1.0506*(Logic!$D$131)</f>
        <v>1.0821179999999999</v>
      </c>
      <c r="AD241" s="122"/>
    </row>
    <row r="242" spans="6:30">
      <c r="F242" s="121" t="s">
        <v>91</v>
      </c>
      <c r="G242" s="158">
        <f>1.5096*(Logic!$D$131)</f>
        <v>1.554888</v>
      </c>
      <c r="AD242" s="122"/>
    </row>
    <row r="243" spans="6:30">
      <c r="F243" s="121" t="s">
        <v>92</v>
      </c>
      <c r="G243" s="158">
        <f>1.8666*(Logic!$D$131)</f>
        <v>1.922598</v>
      </c>
      <c r="AD243" s="122"/>
    </row>
    <row r="244" spans="6:30">
      <c r="F244" s="121" t="s">
        <v>93</v>
      </c>
      <c r="G244" s="158">
        <f>2.5806*(Logic!$D$131)</f>
        <v>2.6580180000000002</v>
      </c>
    </row>
    <row r="245" spans="6:30">
      <c r="F245" s="121" t="s">
        <v>94</v>
      </c>
      <c r="G245" s="158">
        <f>3.264*(Logic!$D$131)</f>
        <v>3.36192</v>
      </c>
    </row>
    <row r="246" spans="6:30">
      <c r="F246" s="121" t="s">
        <v>95</v>
      </c>
      <c r="G246" s="158">
        <f>3.8556*(Logic!$D$131)</f>
        <v>3.9712679999999998</v>
      </c>
    </row>
    <row r="247" spans="6:30">
      <c r="F247" s="121" t="s">
        <v>96</v>
      </c>
      <c r="G247" s="158">
        <f>4.5594*(Logic!$D$131)</f>
        <v>4.6961820000000003</v>
      </c>
    </row>
    <row r="248" spans="6:30">
      <c r="F248" s="121" t="s">
        <v>97</v>
      </c>
      <c r="G248" s="158">
        <f>5.2632*(Logic!$D$131)</f>
        <v>5.4210960000000004</v>
      </c>
    </row>
    <row r="249" spans="6:30">
      <c r="F249" s="121" t="s">
        <v>98</v>
      </c>
      <c r="G249" s="158">
        <f>5.9568*(Logic!$D$131)</f>
        <v>6.1355040000000001</v>
      </c>
    </row>
    <row r="250" spans="6:30">
      <c r="F250" s="121" t="s">
        <v>180</v>
      </c>
      <c r="G250" s="158">
        <f>6.5382*(Logic!$D$131)</f>
        <v>6.7343460000000004</v>
      </c>
    </row>
    <row r="251" spans="6:30">
      <c r="F251" s="121" t="s">
        <v>99</v>
      </c>
      <c r="G251" s="158">
        <f>7.242*(Logic!$D$131)</f>
        <v>7.4592600000000004</v>
      </c>
    </row>
    <row r="252" spans="6:30">
      <c r="F252" s="121" t="s">
        <v>179</v>
      </c>
      <c r="G252" s="158">
        <f>7.9356*(Logic!$D$131)</f>
        <v>8.173668000000001</v>
      </c>
    </row>
    <row r="253" spans="6:30">
      <c r="F253" s="121" t="s">
        <v>100</v>
      </c>
      <c r="G253" s="158">
        <f>8.5272*(Logic!$D$131)</f>
        <v>8.7830159999999999</v>
      </c>
    </row>
    <row r="254" spans="6:30">
      <c r="F254" s="121" t="s">
        <v>178</v>
      </c>
      <c r="G254" s="158">
        <f>9.2208*(Logic!$D$131)</f>
        <v>9.4974240000000005</v>
      </c>
    </row>
    <row r="255" spans="6:30">
      <c r="F255" s="121" t="s">
        <v>101</v>
      </c>
      <c r="G255" s="158">
        <f>9.9246*(Logic!$D$131)</f>
        <v>10.222338000000001</v>
      </c>
    </row>
    <row r="256" spans="6:30">
      <c r="F256" s="121" t="s">
        <v>177</v>
      </c>
      <c r="G256" s="158">
        <f>10.5162*(Logic!$D$131)</f>
        <v>10.831685999999999</v>
      </c>
    </row>
    <row r="257" spans="6:7">
      <c r="F257" s="121" t="s">
        <v>102</v>
      </c>
      <c r="G257" s="158">
        <f>11.2098*(Logic!$D$131)</f>
        <v>11.546094</v>
      </c>
    </row>
    <row r="258" spans="6:7">
      <c r="F258" s="121" t="s">
        <v>176</v>
      </c>
      <c r="G258" s="158">
        <f>11.9238*(Logic!$D$131)</f>
        <v>12.281514</v>
      </c>
    </row>
    <row r="259" spans="6:7">
      <c r="F259" s="121" t="s">
        <v>175</v>
      </c>
      <c r="G259" s="158">
        <f>12.495*(Logic!$D$131)</f>
        <v>12.86985</v>
      </c>
    </row>
    <row r="260" spans="6:7">
      <c r="F260" s="121" t="s">
        <v>174</v>
      </c>
      <c r="G260" s="158">
        <f>13.1886*(Logic!$D$131)</f>
        <v>13.584258</v>
      </c>
    </row>
    <row r="261" spans="6:7">
      <c r="F261" s="121" t="s">
        <v>173</v>
      </c>
      <c r="G261" s="158">
        <f>13.9026*(Logic!$D$131)</f>
        <v>14.319678</v>
      </c>
    </row>
    <row r="262" spans="6:7">
      <c r="F262" s="121" t="s">
        <v>103</v>
      </c>
      <c r="G262" s="158">
        <f>14.4738*(Logic!$D$131)</f>
        <v>14.908014000000001</v>
      </c>
    </row>
    <row r="263" spans="6:7">
      <c r="F263" s="121" t="s">
        <v>104</v>
      </c>
      <c r="G263" s="158">
        <f>15.1674*(Logic!$D$131)</f>
        <v>15.622422</v>
      </c>
    </row>
    <row r="264" spans="6:7">
      <c r="F264" s="121" t="s">
        <v>172</v>
      </c>
      <c r="G264" s="158">
        <f>15.8814*(Logic!$D$131)</f>
        <v>16.357841999999998</v>
      </c>
    </row>
    <row r="265" spans="6:7">
      <c r="F265" s="121" t="s">
        <v>171</v>
      </c>
      <c r="G265" s="158">
        <f>16.4526*(Logic!$D$131)</f>
        <v>16.946178</v>
      </c>
    </row>
    <row r="266" spans="6:7">
      <c r="F266" s="121" t="s">
        <v>170</v>
      </c>
      <c r="G266" s="158">
        <f>17.1564*(Logic!$D$131)</f>
        <v>17.671092000000002</v>
      </c>
    </row>
    <row r="267" spans="6:7">
      <c r="F267" s="121" t="s">
        <v>169</v>
      </c>
      <c r="G267" s="158">
        <f>17.8602*(Logic!$D$131)</f>
        <v>18.396006</v>
      </c>
    </row>
    <row r="268" spans="6:7">
      <c r="F268" s="121" t="s">
        <v>168</v>
      </c>
      <c r="G268" s="158">
        <f>0*(Logic!$D$131)</f>
        <v>0</v>
      </c>
    </row>
    <row r="269" spans="6:7">
      <c r="F269" s="121" t="s">
        <v>105</v>
      </c>
      <c r="G269" s="158">
        <f>0*(Logic!$D$131)</f>
        <v>0</v>
      </c>
    </row>
    <row r="270" spans="6:7">
      <c r="F270" s="121" t="s">
        <v>106</v>
      </c>
      <c r="G270" s="158">
        <f>0*(Logic!$D$131)</f>
        <v>0</v>
      </c>
    </row>
    <row r="271" spans="6:7">
      <c r="F271" s="121" t="s">
        <v>167</v>
      </c>
      <c r="G271" s="158">
        <f>0*(Logic!$D$131)</f>
        <v>0</v>
      </c>
    </row>
    <row r="272" spans="6:7">
      <c r="F272" s="121" t="s">
        <v>107</v>
      </c>
      <c r="G272" s="158">
        <f>0*(Logic!$D$131)</f>
        <v>0</v>
      </c>
    </row>
    <row r="273" spans="6:7">
      <c r="F273" s="121" t="s">
        <v>108</v>
      </c>
      <c r="G273" s="158">
        <f>0*(Logic!$D$131)</f>
        <v>0</v>
      </c>
    </row>
    <row r="274" spans="6:7">
      <c r="F274" s="121" t="s">
        <v>166</v>
      </c>
      <c r="G274" s="158">
        <f>0*(Logic!$D$131)</f>
        <v>0</v>
      </c>
    </row>
    <row r="275" spans="6:7">
      <c r="F275" s="121" t="s">
        <v>165</v>
      </c>
      <c r="G275" s="158">
        <f>0*(Logic!$D$131)</f>
        <v>0</v>
      </c>
    </row>
    <row r="276" spans="6:7">
      <c r="F276" s="121" t="s">
        <v>164</v>
      </c>
      <c r="G276" s="158">
        <f>0*(Logic!$D$131)</f>
        <v>0</v>
      </c>
    </row>
    <row r="277" spans="6:7">
      <c r="F277" s="121" t="s">
        <v>109</v>
      </c>
      <c r="G277" s="158">
        <f>0*(Logic!$D$131)</f>
        <v>0</v>
      </c>
    </row>
    <row r="278" spans="6:7">
      <c r="F278" s="121" t="s">
        <v>110</v>
      </c>
      <c r="G278" s="158">
        <f>0*(Logic!$D$131)</f>
        <v>0</v>
      </c>
    </row>
    <row r="279" spans="6:7">
      <c r="F279" s="121" t="s">
        <v>111</v>
      </c>
      <c r="G279" s="158">
        <f>0*(Logic!$D$131)</f>
        <v>0</v>
      </c>
    </row>
    <row r="280" spans="6:7">
      <c r="F280" s="121" t="s">
        <v>163</v>
      </c>
      <c r="G280" s="158">
        <f>0*(Logic!$D$131)</f>
        <v>0</v>
      </c>
    </row>
    <row r="281" spans="6:7">
      <c r="F281" s="121" t="s">
        <v>888</v>
      </c>
      <c r="G281" s="158">
        <f>0*(Logic!$D$131)</f>
        <v>0</v>
      </c>
    </row>
    <row r="282" spans="6:7">
      <c r="F282" s="121" t="s">
        <v>162</v>
      </c>
      <c r="G282" s="158">
        <f>0*(Logic!$D$131)</f>
        <v>0</v>
      </c>
    </row>
    <row r="283" spans="6:7">
      <c r="F283" s="121" t="s">
        <v>161</v>
      </c>
      <c r="G283" s="158">
        <f>0*(Logic!$D$131)</f>
        <v>0</v>
      </c>
    </row>
    <row r="284" spans="6:7">
      <c r="F284" s="121" t="s">
        <v>113</v>
      </c>
      <c r="G284" s="158">
        <f>1.2852*(Logic!$D$131)</f>
        <v>1.3237559999999999</v>
      </c>
    </row>
    <row r="285" spans="6:7">
      <c r="F285" s="121" t="s">
        <v>115</v>
      </c>
      <c r="G285" s="158">
        <f>1.5096*(Logic!$D$131)</f>
        <v>1.554888</v>
      </c>
    </row>
    <row r="286" spans="6:7">
      <c r="F286" s="121" t="s">
        <v>112</v>
      </c>
      <c r="G286" s="158">
        <f>1.7646*(Logic!$D$131)</f>
        <v>1.8175380000000001</v>
      </c>
    </row>
    <row r="287" spans="6:7">
      <c r="F287" s="121" t="s">
        <v>114</v>
      </c>
      <c r="G287" s="158">
        <f>2.1114*(Logic!$D$131)</f>
        <v>2.1747420000000002</v>
      </c>
    </row>
    <row r="288" spans="6:7">
      <c r="F288" s="121" t="s">
        <v>160</v>
      </c>
      <c r="G288" s="158">
        <f>2.2236*(Logic!$D$131)</f>
        <v>2.290308</v>
      </c>
    </row>
    <row r="289" spans="6:7">
      <c r="F289" s="121" t="s">
        <v>116</v>
      </c>
      <c r="G289" s="158">
        <f>2.3256*(Logic!$D$131)</f>
        <v>2.3953680000000004</v>
      </c>
    </row>
    <row r="290" spans="6:7">
      <c r="G290" s="158">
        <f>0*(Logic!$D$131)</f>
        <v>0</v>
      </c>
    </row>
    <row r="291" spans="6:7">
      <c r="F291" s="121" t="s">
        <v>117</v>
      </c>
      <c r="G291" s="158">
        <f>3.264*(Logic!$D$131)</f>
        <v>3.36192</v>
      </c>
    </row>
    <row r="292" spans="6:7">
      <c r="F292" s="121" t="s">
        <v>159</v>
      </c>
      <c r="G292" s="158">
        <f>0*(Logic!$D$131)</f>
        <v>0</v>
      </c>
    </row>
    <row r="293" spans="6:7">
      <c r="F293" s="121" t="s">
        <v>158</v>
      </c>
      <c r="G293" s="158">
        <f>0*(Logic!$D$131)</f>
        <v>0</v>
      </c>
    </row>
    <row r="294" spans="6:7">
      <c r="F294" s="121" t="s">
        <v>157</v>
      </c>
      <c r="G294" s="158">
        <f>0*(Logic!$D$131)</f>
        <v>0</v>
      </c>
    </row>
    <row r="295" spans="6:7">
      <c r="F295" s="121" t="s">
        <v>156</v>
      </c>
      <c r="G295" s="158">
        <f>0*(Logic!$D$131)</f>
        <v>0</v>
      </c>
    </row>
    <row r="296" spans="6:7">
      <c r="F296" s="121" t="s">
        <v>155</v>
      </c>
      <c r="G296" s="158">
        <f>0*(Logic!$D$131)</f>
        <v>0</v>
      </c>
    </row>
    <row r="297" spans="6:7">
      <c r="F297" s="121" t="s">
        <v>154</v>
      </c>
      <c r="G297" s="158">
        <f>0*(Logic!$D$131)</f>
        <v>0</v>
      </c>
    </row>
    <row r="298" spans="6:7">
      <c r="F298" s="121" t="s">
        <v>153</v>
      </c>
      <c r="G298" s="158">
        <f>0*(Logic!$D$131)</f>
        <v>0</v>
      </c>
    </row>
    <row r="299" spans="6:7">
      <c r="F299" s="121" t="s">
        <v>152</v>
      </c>
      <c r="G299" s="158">
        <f>0*(Logic!$D$131)</f>
        <v>0</v>
      </c>
    </row>
    <row r="300" spans="6:7">
      <c r="F300" s="121" t="s">
        <v>87</v>
      </c>
      <c r="G300" s="158">
        <f>0*(Logic!$D$131)</f>
        <v>0</v>
      </c>
    </row>
    <row r="301" spans="6:7">
      <c r="F301" s="121" t="s">
        <v>151</v>
      </c>
      <c r="G301" s="158">
        <f>0*(Logic!$D$131)</f>
        <v>0</v>
      </c>
    </row>
    <row r="302" spans="6:7">
      <c r="F302" s="121" t="s">
        <v>150</v>
      </c>
      <c r="G302" s="158">
        <f>0*(Logic!$D$131)</f>
        <v>0</v>
      </c>
    </row>
    <row r="303" spans="6:7">
      <c r="F303" s="121" t="s">
        <v>149</v>
      </c>
      <c r="G303" s="158">
        <f>0*(Logic!$D$131)</f>
        <v>0</v>
      </c>
    </row>
    <row r="304" spans="6:7">
      <c r="F304" s="121" t="s">
        <v>148</v>
      </c>
      <c r="G304" s="158">
        <f>0*(Logic!$D$131)</f>
        <v>0</v>
      </c>
    </row>
    <row r="305" spans="6:7">
      <c r="F305" s="121" t="s">
        <v>147</v>
      </c>
      <c r="G305" s="158">
        <f>-6.3036*(Logic!$D$131)</f>
        <v>-6.4927080000000004</v>
      </c>
    </row>
    <row r="306" spans="6:7">
      <c r="F306" s="121" t="s">
        <v>146</v>
      </c>
      <c r="G306" s="158">
        <f>0*(Logic!$D$131)</f>
        <v>0</v>
      </c>
    </row>
    <row r="307" spans="6:7">
      <c r="F307" s="121" t="s">
        <v>145</v>
      </c>
      <c r="G307" s="158">
        <f>4.5594*(Logic!$D$131)</f>
        <v>4.6961820000000003</v>
      </c>
    </row>
    <row r="308" spans="6:7">
      <c r="F308" s="121" t="s">
        <v>144</v>
      </c>
      <c r="G308" s="158">
        <f>0*(Logic!$D$131)</f>
        <v>0</v>
      </c>
    </row>
    <row r="309" spans="6:7">
      <c r="F309" s="121" t="s">
        <v>143</v>
      </c>
      <c r="G309" s="158">
        <f>12.954*(Logic!$D$131)</f>
        <v>13.34262</v>
      </c>
    </row>
    <row r="310" spans="6:7">
      <c r="F310" s="121" t="s">
        <v>142</v>
      </c>
      <c r="G310" s="158">
        <f>2.0604*(Logic!$D$131)</f>
        <v>2.1222120000000002</v>
      </c>
    </row>
    <row r="311" spans="6:7">
      <c r="F311" s="121" t="s">
        <v>141</v>
      </c>
      <c r="G311" s="158">
        <f>1.2852*(Logic!$D$131)</f>
        <v>1.3237559999999999</v>
      </c>
    </row>
    <row r="312" spans="6:7">
      <c r="F312" s="121" t="s">
        <v>77</v>
      </c>
      <c r="G312" s="158">
        <f>0*(Logic!$D$131)</f>
        <v>0</v>
      </c>
    </row>
    <row r="313" spans="6:7">
      <c r="F313" s="121" t="s">
        <v>140</v>
      </c>
      <c r="G313" s="158">
        <f>0*(Logic!$D$131)</f>
        <v>0</v>
      </c>
    </row>
    <row r="314" spans="6:7">
      <c r="F314" s="121" t="s">
        <v>139</v>
      </c>
      <c r="G314" s="158">
        <f>0*(Logic!$D$131)</f>
        <v>0</v>
      </c>
    </row>
    <row r="315" spans="6:7">
      <c r="F315" s="121" t="s">
        <v>138</v>
      </c>
      <c r="G315" s="158">
        <f>0*(Logic!$D$131)</f>
        <v>0</v>
      </c>
    </row>
    <row r="316" spans="6:7">
      <c r="F316" s="121" t="s">
        <v>127</v>
      </c>
      <c r="G316" s="158">
        <f>9.3432*(Logic!$D$131)</f>
        <v>9.6234959999999994</v>
      </c>
    </row>
    <row r="317" spans="6:7">
      <c r="F317" s="121" t="s">
        <v>137</v>
      </c>
      <c r="G317" s="158">
        <f>0*(Logic!$D$131)</f>
        <v>0</v>
      </c>
    </row>
    <row r="318" spans="6:7">
      <c r="F318" s="121" t="s">
        <v>136</v>
      </c>
      <c r="G318" s="158">
        <f>0*(Logic!$D$131)</f>
        <v>0</v>
      </c>
    </row>
    <row r="319" spans="6:7">
      <c r="F319" s="121" t="s">
        <v>135</v>
      </c>
      <c r="G319" s="158">
        <f>3.264*(Logic!$D$131)</f>
        <v>3.36192</v>
      </c>
    </row>
    <row r="320" spans="6:7">
      <c r="F320" s="121" t="s">
        <v>134</v>
      </c>
      <c r="G320" s="158">
        <f>0*(Logic!$D$131)</f>
        <v>0</v>
      </c>
    </row>
    <row r="321" spans="6:10">
      <c r="F321" s="121" t="s">
        <v>133</v>
      </c>
      <c r="G321" s="158">
        <f>4.5594*(Logic!$D$131)</f>
        <v>4.6961820000000003</v>
      </c>
    </row>
    <row r="322" spans="6:10">
      <c r="F322" s="121" t="s">
        <v>132</v>
      </c>
      <c r="G322" s="158">
        <f>0*(Logic!$D$131)</f>
        <v>0</v>
      </c>
    </row>
    <row r="323" spans="6:10">
      <c r="F323" s="121" t="s">
        <v>131</v>
      </c>
      <c r="G323" s="158">
        <f>0*(Logic!$D$131)</f>
        <v>0</v>
      </c>
    </row>
    <row r="324" spans="6:10">
      <c r="F324" s="121" t="s">
        <v>130</v>
      </c>
      <c r="G324" s="158">
        <f>0*(Logic!$D$131)</f>
        <v>0</v>
      </c>
    </row>
    <row r="325" spans="6:10">
      <c r="F325" s="121" t="s">
        <v>129</v>
      </c>
      <c r="G325" s="158">
        <f>0*(Logic!$D$131)</f>
        <v>0</v>
      </c>
    </row>
    <row r="326" spans="6:10">
      <c r="F326" s="121" t="s">
        <v>128</v>
      </c>
      <c r="G326" s="158">
        <f>0*(Logic!$D$131)</f>
        <v>0</v>
      </c>
    </row>
    <row r="327" spans="6:10">
      <c r="G327" s="158">
        <f>0*(Logic!$D$131)</f>
        <v>0</v>
      </c>
    </row>
    <row r="328" spans="6:10">
      <c r="F328" s="121" t="s">
        <v>958</v>
      </c>
      <c r="G328" s="158">
        <f>0*(Logic!$D$131)</f>
        <v>0</v>
      </c>
    </row>
    <row r="329" spans="6:10">
      <c r="F329" s="121" t="s">
        <v>959</v>
      </c>
      <c r="G329" s="158">
        <f>0*(Logic!$D$131)</f>
        <v>0</v>
      </c>
    </row>
    <row r="330" spans="6:10">
      <c r="F330" s="121" t="s">
        <v>960</v>
      </c>
      <c r="G330" s="158">
        <f>0*(Logic!$D$131)</f>
        <v>0</v>
      </c>
    </row>
    <row r="331" spans="6:10">
      <c r="F331" s="121" t="s">
        <v>1119</v>
      </c>
      <c r="G331" s="158">
        <f>60.078*(Logic!$D$131)</f>
        <v>61.880340000000004</v>
      </c>
    </row>
    <row r="332" spans="6:10">
      <c r="F332" s="121">
        <v>31</v>
      </c>
      <c r="G332" s="158">
        <f>0*(Logic!$D$131)</f>
        <v>0</v>
      </c>
      <c r="J332" s="124"/>
    </row>
    <row r="333" spans="6:10">
      <c r="F333" s="121">
        <v>32.5</v>
      </c>
      <c r="G333" s="158">
        <f>0*(Logic!$D$131)</f>
        <v>0</v>
      </c>
      <c r="J333" s="124"/>
    </row>
    <row r="334" spans="6:10">
      <c r="F334" s="121">
        <v>34.5</v>
      </c>
      <c r="G334" s="158">
        <f>1.0506*(Logic!$D$131)</f>
        <v>1.0821179999999999</v>
      </c>
      <c r="J334" s="124"/>
    </row>
    <row r="335" spans="6:10">
      <c r="F335" s="121">
        <v>37.5</v>
      </c>
      <c r="G335" s="158">
        <f>1.5096*(Logic!$D$131)</f>
        <v>1.554888</v>
      </c>
      <c r="J335" s="124"/>
    </row>
    <row r="336" spans="6:10">
      <c r="F336" s="121">
        <v>39.5</v>
      </c>
      <c r="G336" s="158">
        <f>1.8666*(Logic!$D$131)</f>
        <v>1.922598</v>
      </c>
      <c r="J336" s="124"/>
    </row>
    <row r="337" spans="6:7">
      <c r="G337" s="158">
        <f>0*(Logic!$D$131)</f>
        <v>0</v>
      </c>
    </row>
    <row r="338" spans="6:7">
      <c r="F338" s="147" t="s">
        <v>1079</v>
      </c>
      <c r="G338" s="158">
        <f>0*(Logic!$D$131)</f>
        <v>0</v>
      </c>
    </row>
    <row r="339" spans="6:7">
      <c r="F339" s="121" t="s">
        <v>1071</v>
      </c>
      <c r="G339" s="158">
        <f>0.7956*(Logic!$D$131)</f>
        <v>0.81946799999999997</v>
      </c>
    </row>
    <row r="340" spans="6:7">
      <c r="F340" s="121" t="s">
        <v>1072</v>
      </c>
      <c r="G340" s="158">
        <f>1.581*(Logic!$D$131)</f>
        <v>1.62843</v>
      </c>
    </row>
    <row r="341" spans="6:7">
      <c r="F341" s="121" t="s">
        <v>1073</v>
      </c>
      <c r="G341" s="158">
        <f>2.3766*(Logic!$D$131)</f>
        <v>2.4478979999999999</v>
      </c>
    </row>
    <row r="342" spans="6:7">
      <c r="F342" s="121" t="s">
        <v>1074</v>
      </c>
      <c r="G342" s="158">
        <f>3.1722*(Logic!$D$131)</f>
        <v>3.2673660000000004</v>
      </c>
    </row>
    <row r="343" spans="6:7">
      <c r="F343" s="121" t="s">
        <v>1075</v>
      </c>
      <c r="G343" s="158">
        <f>3.978*(Logic!$D$131)</f>
        <v>4.09734</v>
      </c>
    </row>
    <row r="344" spans="6:7">
      <c r="F344" s="121" t="s">
        <v>1076</v>
      </c>
      <c r="G344" s="158">
        <f>4.7634*(Logic!$D$131)</f>
        <v>4.9063020000000002</v>
      </c>
    </row>
    <row r="345" spans="6:7">
      <c r="F345" s="121" t="s">
        <v>1077</v>
      </c>
      <c r="G345" s="158">
        <f>5.559*(Logic!$D$131)</f>
        <v>5.7257700000000007</v>
      </c>
    </row>
    <row r="346" spans="6:7">
      <c r="F346" s="121" t="s">
        <v>1078</v>
      </c>
      <c r="G346" s="158">
        <f>6.3546*(Logic!$D$131)</f>
        <v>6.5452379999999994</v>
      </c>
    </row>
    <row r="347" spans="6:7">
      <c r="F347" s="121" t="s">
        <v>1082</v>
      </c>
      <c r="G347" s="158">
        <f>7.14*(Logic!$D$131)</f>
        <v>7.3541999999999996</v>
      </c>
    </row>
    <row r="348" spans="6:7">
      <c r="F348" s="121" t="s">
        <v>1364</v>
      </c>
      <c r="G348" s="158">
        <f>9.52*(Logic!$D$131)</f>
        <v>9.8056000000000001</v>
      </c>
    </row>
    <row r="349" spans="6:7">
      <c r="F349" s="121" t="s">
        <v>1365</v>
      </c>
      <c r="G349" s="158">
        <f>10.3*(Logic!$D$131)</f>
        <v>10.609000000000002</v>
      </c>
    </row>
    <row r="350" spans="6:7">
      <c r="F350" s="121" t="s">
        <v>1366</v>
      </c>
      <c r="G350" s="158">
        <f>10.3*(Logic!$D$131)</f>
        <v>10.609000000000002</v>
      </c>
    </row>
    <row r="351" spans="6:7">
      <c r="F351" s="121" t="s">
        <v>1370</v>
      </c>
      <c r="G351" s="158">
        <f>6.34*(Logic!$D$131)</f>
        <v>6.5301999999999998</v>
      </c>
    </row>
    <row r="352" spans="6:7">
      <c r="F352" s="121" t="s">
        <v>1369</v>
      </c>
      <c r="G352" s="158">
        <f>7.54*(Logic!$D$131)</f>
        <v>7.7662000000000004</v>
      </c>
    </row>
    <row r="353" spans="6:7">
      <c r="F353" s="121" t="s">
        <v>1367</v>
      </c>
      <c r="G353" s="158">
        <f>7.94*(Logic!$D$131)</f>
        <v>8.1782000000000004</v>
      </c>
    </row>
    <row r="354" spans="6:7">
      <c r="F354" s="121" t="s">
        <v>1371</v>
      </c>
      <c r="G354" s="158">
        <f>8.33*(Logic!$D$131)</f>
        <v>8.5799000000000003</v>
      </c>
    </row>
    <row r="355" spans="6:7">
      <c r="F355" s="121" t="s">
        <v>1368</v>
      </c>
      <c r="G355" s="158">
        <f>8.73*(Logic!$D$131)</f>
        <v>8.9919000000000011</v>
      </c>
    </row>
    <row r="356" spans="6:7">
      <c r="F356" s="121" t="s">
        <v>1372</v>
      </c>
      <c r="G356" s="158">
        <f>9.13*(Logic!$D$131)</f>
        <v>9.4039000000000019</v>
      </c>
    </row>
    <row r="357" spans="6:7">
      <c r="F357" s="121" t="s">
        <v>1373</v>
      </c>
      <c r="G357" s="158">
        <f>9.92*(Logic!$D$131)</f>
        <v>10.217600000000001</v>
      </c>
    </row>
    <row r="358" spans="6:7">
      <c r="F358" s="121" t="s">
        <v>1374</v>
      </c>
      <c r="G358" s="158">
        <f>10.73*(Logic!$D$131)</f>
        <v>11.051900000000002</v>
      </c>
    </row>
    <row r="359" spans="6:7">
      <c r="F359" s="121" t="s">
        <v>1375</v>
      </c>
      <c r="G359" s="158">
        <f>11.53*(Logic!$D$131)</f>
        <v>11.8759</v>
      </c>
    </row>
    <row r="360" spans="6:7">
      <c r="F360" s="121" t="s">
        <v>1376</v>
      </c>
      <c r="G360" s="158">
        <f>12.32*(Logic!$D$131)</f>
        <v>12.6896</v>
      </c>
    </row>
    <row r="361" spans="6:7">
      <c r="F361" s="121" t="s">
        <v>1377</v>
      </c>
      <c r="G361" s="158">
        <f>13.12*(Logic!$D$131)</f>
        <v>13.5136</v>
      </c>
    </row>
    <row r="362" spans="6:7">
      <c r="F362" s="121" t="s">
        <v>1378</v>
      </c>
      <c r="G362" s="158">
        <f>13.91*(Logic!$D$131)</f>
        <v>14.327300000000001</v>
      </c>
    </row>
    <row r="363" spans="6:7">
      <c r="F363" s="121" t="s">
        <v>1379</v>
      </c>
      <c r="G363" s="158">
        <f>14.72*(Logic!$D$131)</f>
        <v>15.161600000000002</v>
      </c>
    </row>
    <row r="364" spans="6:7">
      <c r="F364" s="121" t="s">
        <v>1380</v>
      </c>
      <c r="G364" s="158">
        <f>15.51*(Logic!$D$131)</f>
        <v>15.975300000000001</v>
      </c>
    </row>
    <row r="365" spans="6:7">
      <c r="F365" s="121" t="s">
        <v>1381</v>
      </c>
      <c r="G365" s="158">
        <f>16.31*(Logic!$D$131)</f>
        <v>16.799299999999999</v>
      </c>
    </row>
    <row r="366" spans="6:7">
      <c r="F366" s="121" t="s">
        <v>1382</v>
      </c>
      <c r="G366" s="158">
        <f>17.11*(Logic!$D$131)</f>
        <v>17.6233</v>
      </c>
    </row>
  </sheetData>
  <dataConsolidate/>
  <mergeCells count="20">
    <mergeCell ref="A1:D1"/>
    <mergeCell ref="F1:G1"/>
    <mergeCell ref="I1:J1"/>
    <mergeCell ref="L1:M1"/>
    <mergeCell ref="O1:Q1"/>
    <mergeCell ref="O36:P36"/>
    <mergeCell ref="S47:T47"/>
    <mergeCell ref="S35:T35"/>
    <mergeCell ref="S44:T44"/>
    <mergeCell ref="S25:T25"/>
    <mergeCell ref="S32:T32"/>
    <mergeCell ref="AN1:AP1"/>
    <mergeCell ref="S67:T67"/>
    <mergeCell ref="S49:T49"/>
    <mergeCell ref="AC1:AD1"/>
    <mergeCell ref="S9:T9"/>
    <mergeCell ref="Y1:Z1"/>
    <mergeCell ref="V27:W27"/>
    <mergeCell ref="AF1:AH1"/>
    <mergeCell ref="V1:W1"/>
  </mergeCells>
  <phoneticPr fontId="1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3"/>
  <dimension ref="A1:T148"/>
  <sheetViews>
    <sheetView zoomScaleNormal="100" workbookViewId="0">
      <selection activeCell="C94" sqref="C94:K98"/>
    </sheetView>
  </sheetViews>
  <sheetFormatPr defaultColWidth="9.109375" defaultRowHeight="13.2"/>
  <cols>
    <col min="1" max="1" width="9.6640625" style="7" bestFit="1" customWidth="1"/>
    <col min="2" max="2" width="9.109375" style="7"/>
    <col min="3" max="3" width="29.6640625" style="7" customWidth="1"/>
    <col min="4" max="4" width="11.88671875" style="7" customWidth="1"/>
    <col min="5" max="5" width="16.88671875" style="7" customWidth="1"/>
    <col min="6" max="6" width="14" style="7" customWidth="1"/>
    <col min="7" max="7" width="17.33203125" style="7" customWidth="1"/>
    <col min="8" max="8" width="11.88671875" style="7" customWidth="1"/>
    <col min="9" max="9" width="12.88671875" style="7" customWidth="1"/>
    <col min="10" max="13" width="12.88671875" customWidth="1"/>
    <col min="14" max="14" width="11.5546875" style="7" bestFit="1" customWidth="1"/>
    <col min="15" max="15" width="23.5546875" style="7" bestFit="1" customWidth="1"/>
    <col min="16" max="16" width="19.44140625" style="7" bestFit="1" customWidth="1"/>
    <col min="17" max="17" width="9.109375" style="7"/>
    <col min="18" max="18" width="11.33203125" style="7" customWidth="1"/>
    <col min="19" max="19" width="9" style="7" customWidth="1"/>
    <col min="20" max="20" width="17.44140625" style="7" customWidth="1"/>
    <col min="21" max="16384" width="9.109375" style="7"/>
  </cols>
  <sheetData>
    <row r="1" spans="1:20" ht="21">
      <c r="A1" s="40" t="s">
        <v>833</v>
      </c>
      <c r="C1" s="188" t="s">
        <v>849</v>
      </c>
      <c r="D1" s="188"/>
      <c r="E1" s="188"/>
      <c r="F1" s="188"/>
      <c r="G1" s="188"/>
      <c r="H1" s="188"/>
      <c r="I1" s="188"/>
      <c r="O1" s="187" t="s">
        <v>853</v>
      </c>
      <c r="P1" s="187"/>
      <c r="R1" s="4" t="s">
        <v>789</v>
      </c>
      <c r="S1" s="4" t="s">
        <v>790</v>
      </c>
      <c r="T1" s="4" t="s">
        <v>791</v>
      </c>
    </row>
    <row r="2" spans="1:20">
      <c r="A2" s="7" t="s">
        <v>811</v>
      </c>
      <c r="C2"/>
      <c r="D2"/>
      <c r="E2"/>
      <c r="F2"/>
      <c r="G2"/>
      <c r="H2"/>
      <c r="I2"/>
      <c r="O2" s="51" t="s">
        <v>792</v>
      </c>
      <c r="P2" s="51" t="s">
        <v>787</v>
      </c>
      <c r="R2" t="s">
        <v>799</v>
      </c>
      <c r="S2">
        <v>5.665</v>
      </c>
      <c r="T2" s="143">
        <f>1/$S$11*S2</f>
        <v>1.1794711638559234</v>
      </c>
    </row>
    <row r="3" spans="1:20" ht="14.25" customHeight="1">
      <c r="A3" s="52">
        <f>1/VLOOKUP(A2,R1:T12,3,0)</f>
        <v>1</v>
      </c>
      <c r="C3" s="47" t="s">
        <v>850</v>
      </c>
      <c r="O3" s="91" t="s">
        <v>670</v>
      </c>
      <c r="P3" s="12" t="s">
        <v>1340</v>
      </c>
      <c r="R3" t="s">
        <v>801</v>
      </c>
      <c r="S3">
        <v>4.1130000000000004</v>
      </c>
      <c r="T3" s="143">
        <f t="shared" ref="T3:T12" si="0">1/$S$11*S3</f>
        <v>0.85633978763272967</v>
      </c>
    </row>
    <row r="4" spans="1:20" ht="14.25" customHeight="1">
      <c r="D4"/>
      <c r="E4"/>
      <c r="F4"/>
      <c r="G4"/>
      <c r="H4"/>
      <c r="I4"/>
      <c r="O4" s="91" t="s">
        <v>666</v>
      </c>
      <c r="P4" s="12" t="s">
        <v>1342</v>
      </c>
      <c r="R4" t="s">
        <v>802</v>
      </c>
      <c r="S4">
        <v>3.6579999999999999</v>
      </c>
      <c r="T4" s="143">
        <f>1/$S$11*S4</f>
        <v>0.76160732875286274</v>
      </c>
    </row>
    <row r="5" spans="1:20" ht="27.6" thickBot="1">
      <c r="C5" s="45" t="s">
        <v>787</v>
      </c>
      <c r="D5" s="8" t="s">
        <v>647</v>
      </c>
      <c r="E5" s="8" t="s">
        <v>656</v>
      </c>
      <c r="F5" s="8" t="s">
        <v>652</v>
      </c>
      <c r="G5" s="8" t="s">
        <v>1332</v>
      </c>
      <c r="H5" s="8" t="s">
        <v>1335</v>
      </c>
      <c r="I5" s="8" t="s">
        <v>1336</v>
      </c>
      <c r="J5" s="8" t="s">
        <v>1342</v>
      </c>
      <c r="K5" s="8" t="s">
        <v>1340</v>
      </c>
      <c r="L5" s="8" t="s">
        <v>1355</v>
      </c>
      <c r="M5" s="8" t="s">
        <v>1357</v>
      </c>
      <c r="O5" s="91" t="s">
        <v>1353</v>
      </c>
      <c r="P5" s="12" t="s">
        <v>1335</v>
      </c>
      <c r="R5" t="s">
        <v>803</v>
      </c>
      <c r="S5">
        <f>1.7175/10</f>
        <v>0.17175000000000001</v>
      </c>
      <c r="T5" s="143">
        <f>1/$S$11*S5</f>
        <v>3.5758900687070584E-2</v>
      </c>
    </row>
    <row r="6" spans="1:20" ht="15.6" thickTop="1" thickBot="1">
      <c r="C6" s="46" t="s">
        <v>792</v>
      </c>
      <c r="D6" s="8" t="s">
        <v>793</v>
      </c>
      <c r="E6" s="8" t="s">
        <v>794</v>
      </c>
      <c r="F6" s="8" t="s">
        <v>795</v>
      </c>
      <c r="G6" s="8" t="s">
        <v>796</v>
      </c>
      <c r="H6" s="7" t="s">
        <v>797</v>
      </c>
      <c r="I6" s="7" t="s">
        <v>798</v>
      </c>
      <c r="J6" s="164" t="s">
        <v>1333</v>
      </c>
      <c r="K6" s="164" t="s">
        <v>1334</v>
      </c>
      <c r="L6" s="172" t="s">
        <v>1356</v>
      </c>
      <c r="M6" s="172" t="s">
        <v>1358</v>
      </c>
      <c r="O6" s="91" t="s">
        <v>1354</v>
      </c>
      <c r="P6" s="11" t="s">
        <v>1332</v>
      </c>
      <c r="R6" t="s">
        <v>804</v>
      </c>
      <c r="S6">
        <v>0.76</v>
      </c>
      <c r="T6" s="143">
        <f t="shared" si="0"/>
        <v>0.15823443681032687</v>
      </c>
    </row>
    <row r="7" spans="1:20" ht="15" thickTop="1">
      <c r="C7" s="9" t="s">
        <v>300</v>
      </c>
      <c r="D7" s="10" t="s">
        <v>800</v>
      </c>
      <c r="E7" s="10" t="s">
        <v>800</v>
      </c>
      <c r="F7" s="10" t="s">
        <v>800</v>
      </c>
      <c r="G7" s="10"/>
      <c r="H7" s="10" t="s">
        <v>800</v>
      </c>
      <c r="I7" s="10" t="s">
        <v>800</v>
      </c>
      <c r="J7" s="87"/>
      <c r="K7" s="87" t="s">
        <v>800</v>
      </c>
      <c r="L7" s="171" t="s">
        <v>800</v>
      </c>
      <c r="M7" s="171" t="s">
        <v>800</v>
      </c>
      <c r="O7" s="91" t="s">
        <v>72</v>
      </c>
      <c r="P7" s="11" t="s">
        <v>1336</v>
      </c>
      <c r="R7" t="s">
        <v>805</v>
      </c>
      <c r="S7">
        <v>8.2710000000000008</v>
      </c>
      <c r="T7" s="143">
        <f t="shared" si="0"/>
        <v>1.7220487195502812</v>
      </c>
    </row>
    <row r="8" spans="1:20" ht="14.4">
      <c r="C8" s="9" t="s">
        <v>292</v>
      </c>
      <c r="D8" s="10" t="s">
        <v>800</v>
      </c>
      <c r="E8" s="10" t="s">
        <v>800</v>
      </c>
      <c r="F8" s="10" t="s">
        <v>800</v>
      </c>
      <c r="G8" s="10"/>
      <c r="H8" s="10" t="s">
        <v>800</v>
      </c>
      <c r="I8" s="10" t="s">
        <v>800</v>
      </c>
      <c r="J8" s="87"/>
      <c r="K8" s="87" t="s">
        <v>800</v>
      </c>
      <c r="L8" s="171" t="s">
        <v>800</v>
      </c>
      <c r="M8" s="171" t="s">
        <v>800</v>
      </c>
      <c r="O8" s="91" t="s">
        <v>662</v>
      </c>
      <c r="P8" s="11" t="s">
        <v>647</v>
      </c>
      <c r="R8" t="s">
        <v>806</v>
      </c>
      <c r="S8">
        <v>0.59399999999999997</v>
      </c>
      <c r="T8" s="143">
        <f t="shared" si="0"/>
        <v>0.12367270455965021</v>
      </c>
    </row>
    <row r="9" spans="1:20" ht="14.4">
      <c r="C9" s="9" t="s">
        <v>907</v>
      </c>
      <c r="D9" s="10" t="s">
        <v>800</v>
      </c>
      <c r="E9" s="10" t="s">
        <v>800</v>
      </c>
      <c r="F9" s="10" t="s">
        <v>800</v>
      </c>
      <c r="G9" s="10"/>
      <c r="H9" s="10" t="s">
        <v>800</v>
      </c>
      <c r="I9" s="10" t="s">
        <v>800</v>
      </c>
      <c r="J9" s="87"/>
      <c r="K9" s="87" t="s">
        <v>800</v>
      </c>
      <c r="L9" s="171" t="s">
        <v>800</v>
      </c>
      <c r="M9" s="171" t="s">
        <v>800</v>
      </c>
      <c r="O9" s="91" t="s">
        <v>658</v>
      </c>
      <c r="P9" s="11" t="s">
        <v>656</v>
      </c>
      <c r="R9" t="s">
        <v>807</v>
      </c>
      <c r="S9">
        <v>2.8</v>
      </c>
      <c r="T9" s="143">
        <f>1/$S$11*S9</f>
        <v>0.58296897772225686</v>
      </c>
    </row>
    <row r="10" spans="1:20" ht="14.4">
      <c r="C10" s="173" t="s">
        <v>670</v>
      </c>
      <c r="D10" s="10" t="s">
        <v>800</v>
      </c>
      <c r="E10" s="10" t="s">
        <v>800</v>
      </c>
      <c r="F10" s="10" t="s">
        <v>800</v>
      </c>
      <c r="G10" s="174"/>
      <c r="H10" s="174"/>
      <c r="I10" s="174"/>
      <c r="J10" s="171"/>
      <c r="K10" s="171"/>
      <c r="L10" s="171" t="s">
        <v>800</v>
      </c>
      <c r="M10" s="171" t="s">
        <v>800</v>
      </c>
      <c r="O10" s="91" t="s">
        <v>15</v>
      </c>
      <c r="P10" s="12" t="s">
        <v>652</v>
      </c>
      <c r="R10" t="s">
        <v>809</v>
      </c>
      <c r="S10">
        <v>0.47366999999999998</v>
      </c>
      <c r="T10" s="143">
        <f t="shared" si="0"/>
        <v>9.861961274203622E-2</v>
      </c>
    </row>
    <row r="11" spans="1:20" ht="14.4">
      <c r="C11" s="173" t="s">
        <v>666</v>
      </c>
      <c r="D11" s="10" t="s">
        <v>800</v>
      </c>
      <c r="E11" s="10" t="s">
        <v>800</v>
      </c>
      <c r="F11" s="10" t="s">
        <v>800</v>
      </c>
      <c r="G11" s="174"/>
      <c r="H11" s="174"/>
      <c r="I11" s="174"/>
      <c r="J11" s="171"/>
      <c r="K11" s="171"/>
      <c r="L11" s="171" t="s">
        <v>800</v>
      </c>
      <c r="M11" s="171" t="s">
        <v>800</v>
      </c>
      <c r="O11" s="91" t="s">
        <v>649</v>
      </c>
      <c r="P11" s="12" t="s">
        <v>1341</v>
      </c>
      <c r="R11" s="13" t="s">
        <v>811</v>
      </c>
      <c r="S11">
        <v>4.8029999999999999</v>
      </c>
      <c r="T11" s="143">
        <f t="shared" si="0"/>
        <v>1</v>
      </c>
    </row>
    <row r="12" spans="1:20" ht="14.4">
      <c r="C12" s="173" t="s">
        <v>662</v>
      </c>
      <c r="D12" s="10" t="s">
        <v>800</v>
      </c>
      <c r="E12" s="10" t="s">
        <v>800</v>
      </c>
      <c r="F12" s="10" t="s">
        <v>800</v>
      </c>
      <c r="G12" s="174"/>
      <c r="H12" s="174"/>
      <c r="I12" s="174"/>
      <c r="J12" s="171"/>
      <c r="K12" s="171"/>
      <c r="L12" s="171" t="s">
        <v>800</v>
      </c>
      <c r="M12" s="171" t="s">
        <v>800</v>
      </c>
      <c r="O12" s="91" t="s">
        <v>16</v>
      </c>
      <c r="P12" s="12" t="s">
        <v>1343</v>
      </c>
      <c r="R12" t="s">
        <v>812</v>
      </c>
      <c r="S12">
        <v>3.548</v>
      </c>
      <c r="T12" s="143">
        <f t="shared" si="0"/>
        <v>0.73870497605663132</v>
      </c>
    </row>
    <row r="13" spans="1:20" ht="14.4">
      <c r="C13" s="173" t="s">
        <v>658</v>
      </c>
      <c r="D13" s="10" t="s">
        <v>800</v>
      </c>
      <c r="E13" s="10" t="s">
        <v>800</v>
      </c>
      <c r="F13" s="10" t="s">
        <v>800</v>
      </c>
      <c r="G13" s="174"/>
      <c r="H13" s="174"/>
      <c r="I13" s="174"/>
      <c r="J13" s="171"/>
      <c r="K13" s="171"/>
      <c r="L13" s="171" t="s">
        <v>800</v>
      </c>
      <c r="M13" s="171" t="s">
        <v>800</v>
      </c>
      <c r="O13" s="91" t="s">
        <v>472</v>
      </c>
      <c r="P13" s="11" t="s">
        <v>1338</v>
      </c>
    </row>
    <row r="14" spans="1:20" ht="14.4">
      <c r="C14" s="173" t="s">
        <v>15</v>
      </c>
      <c r="D14" s="10" t="s">
        <v>800</v>
      </c>
      <c r="E14" s="10" t="s">
        <v>800</v>
      </c>
      <c r="F14" s="10" t="s">
        <v>800</v>
      </c>
      <c r="G14" s="174"/>
      <c r="H14" s="174"/>
      <c r="I14" s="174"/>
      <c r="J14" s="171"/>
      <c r="K14" s="171"/>
      <c r="L14" s="171" t="s">
        <v>800</v>
      </c>
      <c r="M14" s="171" t="s">
        <v>800</v>
      </c>
      <c r="O14" s="91" t="s">
        <v>73</v>
      </c>
      <c r="P14" s="12" t="s">
        <v>1337</v>
      </c>
    </row>
    <row r="15" spans="1:20" ht="14.4">
      <c r="C15" s="173" t="s">
        <v>649</v>
      </c>
      <c r="D15" s="10" t="s">
        <v>800</v>
      </c>
      <c r="E15" s="10" t="s">
        <v>800</v>
      </c>
      <c r="F15" s="10" t="s">
        <v>800</v>
      </c>
      <c r="G15" s="174"/>
      <c r="H15" s="174"/>
      <c r="I15" s="174"/>
      <c r="J15" s="171"/>
      <c r="K15" s="171"/>
      <c r="L15" s="171" t="s">
        <v>800</v>
      </c>
      <c r="M15" s="171" t="s">
        <v>800</v>
      </c>
      <c r="O15" s="91" t="s">
        <v>17</v>
      </c>
      <c r="P15" s="11" t="s">
        <v>1339</v>
      </c>
    </row>
    <row r="16" spans="1:20" ht="14.4">
      <c r="C16" s="173" t="s">
        <v>16</v>
      </c>
      <c r="D16" s="10" t="s">
        <v>800</v>
      </c>
      <c r="E16" s="10" t="s">
        <v>800</v>
      </c>
      <c r="F16" s="10" t="s">
        <v>800</v>
      </c>
      <c r="G16" s="174"/>
      <c r="H16" s="174"/>
      <c r="I16" s="174"/>
      <c r="J16" s="171"/>
      <c r="K16" s="171"/>
      <c r="L16" s="171" t="s">
        <v>800</v>
      </c>
      <c r="M16" s="171" t="s">
        <v>800</v>
      </c>
      <c r="O16" s="91" t="s">
        <v>474</v>
      </c>
      <c r="P16" s="11" t="s">
        <v>611</v>
      </c>
    </row>
    <row r="17" spans="3:16" ht="14.4">
      <c r="C17" s="173" t="s">
        <v>17</v>
      </c>
      <c r="D17" s="10" t="s">
        <v>800</v>
      </c>
      <c r="E17" s="10" t="s">
        <v>800</v>
      </c>
      <c r="F17" s="10" t="s">
        <v>800</v>
      </c>
      <c r="G17" s="174"/>
      <c r="H17" s="174"/>
      <c r="I17" s="174"/>
      <c r="J17" s="171"/>
      <c r="K17" s="171"/>
      <c r="L17" s="171" t="s">
        <v>800</v>
      </c>
      <c r="M17" s="171" t="s">
        <v>800</v>
      </c>
      <c r="O17" s="91" t="s">
        <v>14</v>
      </c>
      <c r="P17" s="11" t="s">
        <v>808</v>
      </c>
    </row>
    <row r="18" spans="3:16" ht="14.4">
      <c r="C18" s="173" t="s">
        <v>14</v>
      </c>
      <c r="D18" s="10" t="s">
        <v>800</v>
      </c>
      <c r="E18" s="10" t="s">
        <v>800</v>
      </c>
      <c r="F18" s="10" t="s">
        <v>800</v>
      </c>
      <c r="G18" s="174"/>
      <c r="H18" s="174"/>
      <c r="I18" s="174"/>
      <c r="J18" s="171"/>
      <c r="K18" s="171"/>
      <c r="L18" s="171" t="s">
        <v>800</v>
      </c>
      <c r="M18" s="171" t="s">
        <v>800</v>
      </c>
      <c r="O18" s="91" t="s">
        <v>47</v>
      </c>
      <c r="P18" s="12" t="s">
        <v>810</v>
      </c>
    </row>
    <row r="19" spans="3:16" ht="14.4">
      <c r="C19" s="173" t="s">
        <v>1058</v>
      </c>
      <c r="D19" s="10" t="s">
        <v>800</v>
      </c>
      <c r="E19" s="10" t="s">
        <v>800</v>
      </c>
      <c r="F19" s="10" t="s">
        <v>800</v>
      </c>
      <c r="G19" s="174"/>
      <c r="H19" s="174"/>
      <c r="I19" s="174"/>
      <c r="J19" s="171"/>
      <c r="K19" s="171"/>
      <c r="L19" s="171" t="s">
        <v>800</v>
      </c>
      <c r="M19" s="171" t="s">
        <v>800</v>
      </c>
      <c r="O19" s="91" t="s">
        <v>74</v>
      </c>
    </row>
    <row r="20" spans="3:16" ht="14.4">
      <c r="C20" s="173" t="s">
        <v>305</v>
      </c>
      <c r="D20" s="10" t="s">
        <v>800</v>
      </c>
      <c r="E20" s="10" t="s">
        <v>800</v>
      </c>
      <c r="F20" s="10" t="s">
        <v>800</v>
      </c>
      <c r="G20" s="174"/>
      <c r="H20" s="174"/>
      <c r="I20" s="174"/>
      <c r="J20" s="171"/>
      <c r="K20" s="171"/>
      <c r="L20" s="171" t="s">
        <v>800</v>
      </c>
      <c r="M20" s="171" t="s">
        <v>800</v>
      </c>
      <c r="O20" s="91" t="s">
        <v>300</v>
      </c>
    </row>
    <row r="21" spans="3:16" ht="14.4">
      <c r="C21" s="173" t="s">
        <v>330</v>
      </c>
      <c r="D21" s="10" t="s">
        <v>800</v>
      </c>
      <c r="E21" s="10" t="s">
        <v>800</v>
      </c>
      <c r="F21" s="10" t="s">
        <v>800</v>
      </c>
      <c r="G21" s="174"/>
      <c r="H21" s="174" t="s">
        <v>800</v>
      </c>
      <c r="I21" s="174"/>
      <c r="J21" s="171"/>
      <c r="K21" s="171"/>
      <c r="L21" s="171" t="s">
        <v>800</v>
      </c>
      <c r="M21" s="171" t="s">
        <v>800</v>
      </c>
      <c r="O21" s="91" t="s">
        <v>298</v>
      </c>
      <c r="P21" s="11"/>
    </row>
    <row r="22" spans="3:16" ht="14.4">
      <c r="C22" s="173" t="s">
        <v>38</v>
      </c>
      <c r="D22" s="10" t="s">
        <v>800</v>
      </c>
      <c r="E22" s="10" t="s">
        <v>800</v>
      </c>
      <c r="F22" s="10" t="s">
        <v>800</v>
      </c>
      <c r="G22" s="10"/>
      <c r="H22" s="10"/>
      <c r="I22" s="10"/>
      <c r="J22" s="87"/>
      <c r="K22" s="87"/>
      <c r="L22" s="171" t="s">
        <v>800</v>
      </c>
      <c r="M22" s="171" t="s">
        <v>800</v>
      </c>
      <c r="O22" s="91" t="s">
        <v>296</v>
      </c>
      <c r="P22" s="11"/>
    </row>
    <row r="23" spans="3:16" ht="14.25" customHeight="1">
      <c r="C23" s="9" t="s">
        <v>37</v>
      </c>
      <c r="D23" s="10" t="s">
        <v>800</v>
      </c>
      <c r="E23" s="10" t="s">
        <v>800</v>
      </c>
      <c r="F23" s="10" t="s">
        <v>800</v>
      </c>
      <c r="G23" s="10"/>
      <c r="H23" s="10"/>
      <c r="I23" s="10"/>
      <c r="J23" s="87"/>
      <c r="K23" s="87"/>
      <c r="L23" s="171" t="s">
        <v>800</v>
      </c>
      <c r="M23" s="171" t="s">
        <v>800</v>
      </c>
      <c r="O23" s="91" t="s">
        <v>465</v>
      </c>
      <c r="P23" s="11"/>
    </row>
    <row r="24" spans="3:16" ht="14.4">
      <c r="C24" s="9" t="s">
        <v>272</v>
      </c>
      <c r="D24" s="10" t="s">
        <v>800</v>
      </c>
      <c r="E24" s="10" t="s">
        <v>800</v>
      </c>
      <c r="F24" s="10" t="s">
        <v>800</v>
      </c>
      <c r="G24" s="10"/>
      <c r="H24" s="10" t="s">
        <v>800</v>
      </c>
      <c r="I24" s="10" t="s">
        <v>800</v>
      </c>
      <c r="J24" s="87"/>
      <c r="K24" s="87" t="s">
        <v>800</v>
      </c>
      <c r="L24" s="171" t="s">
        <v>800</v>
      </c>
      <c r="M24" s="171" t="s">
        <v>800</v>
      </c>
      <c r="O24" s="91" t="s">
        <v>892</v>
      </c>
      <c r="P24" s="11"/>
    </row>
    <row r="25" spans="3:16" ht="14.4">
      <c r="C25" s="9" t="s">
        <v>31</v>
      </c>
      <c r="D25" s="10" t="s">
        <v>800</v>
      </c>
      <c r="E25" s="10" t="s">
        <v>800</v>
      </c>
      <c r="F25" s="10" t="s">
        <v>800</v>
      </c>
      <c r="G25" s="10"/>
      <c r="H25" s="10"/>
      <c r="I25" s="10"/>
      <c r="J25" s="87"/>
      <c r="K25" s="87"/>
      <c r="L25" s="171" t="s">
        <v>800</v>
      </c>
      <c r="M25" s="171" t="s">
        <v>800</v>
      </c>
      <c r="O25" s="91" t="s">
        <v>292</v>
      </c>
      <c r="P25" s="12"/>
    </row>
    <row r="26" spans="3:16" ht="14.4">
      <c r="C26" s="9" t="s">
        <v>32</v>
      </c>
      <c r="D26" s="10" t="s">
        <v>800</v>
      </c>
      <c r="E26" s="10" t="s">
        <v>800</v>
      </c>
      <c r="F26" s="10" t="s">
        <v>800</v>
      </c>
      <c r="G26" s="10"/>
      <c r="H26" s="10"/>
      <c r="I26" s="10"/>
      <c r="J26" s="87"/>
      <c r="K26" s="87"/>
      <c r="L26" s="171" t="s">
        <v>800</v>
      </c>
      <c r="M26" s="171" t="s">
        <v>800</v>
      </c>
      <c r="O26" s="91" t="s">
        <v>290</v>
      </c>
      <c r="P26" s="12"/>
    </row>
    <row r="27" spans="3:16" ht="14.4">
      <c r="C27" s="9" t="s">
        <v>350</v>
      </c>
      <c r="D27" s="10" t="s">
        <v>800</v>
      </c>
      <c r="E27" s="10" t="s">
        <v>800</v>
      </c>
      <c r="F27" s="10" t="s">
        <v>800</v>
      </c>
      <c r="G27" s="10"/>
      <c r="H27" s="10"/>
      <c r="I27" s="10"/>
      <c r="J27" s="87"/>
      <c r="K27" s="87"/>
      <c r="L27" s="171" t="s">
        <v>800</v>
      </c>
      <c r="M27" s="171" t="s">
        <v>800</v>
      </c>
      <c r="O27" s="91" t="s">
        <v>288</v>
      </c>
      <c r="P27" s="12"/>
    </row>
    <row r="28" spans="3:16" ht="14.4">
      <c r="C28" s="9" t="s">
        <v>34</v>
      </c>
      <c r="D28" s="10" t="s">
        <v>800</v>
      </c>
      <c r="E28" s="10" t="s">
        <v>800</v>
      </c>
      <c r="F28" s="10" t="s">
        <v>800</v>
      </c>
      <c r="G28" s="10"/>
      <c r="H28" s="10"/>
      <c r="I28" s="10"/>
      <c r="J28" s="87"/>
      <c r="K28" s="87"/>
      <c r="L28" s="171" t="s">
        <v>800</v>
      </c>
      <c r="M28" s="171" t="s">
        <v>800</v>
      </c>
      <c r="O28" s="91" t="s">
        <v>463</v>
      </c>
      <c r="P28" s="12"/>
    </row>
    <row r="29" spans="3:16" ht="14.4">
      <c r="C29" s="9" t="s">
        <v>36</v>
      </c>
      <c r="D29" s="10" t="s">
        <v>800</v>
      </c>
      <c r="E29" s="10" t="s">
        <v>800</v>
      </c>
      <c r="F29" s="10" t="s">
        <v>800</v>
      </c>
      <c r="G29" s="10"/>
      <c r="H29" s="10"/>
      <c r="I29" s="10"/>
      <c r="J29" s="87"/>
      <c r="K29" s="87"/>
      <c r="L29" s="171" t="s">
        <v>800</v>
      </c>
      <c r="M29" s="171" t="s">
        <v>800</v>
      </c>
      <c r="O29" s="91" t="s">
        <v>896</v>
      </c>
      <c r="P29" s="11"/>
    </row>
    <row r="30" spans="3:16" ht="14.4">
      <c r="C30" s="9" t="s">
        <v>33</v>
      </c>
      <c r="D30" s="10" t="s">
        <v>800</v>
      </c>
      <c r="E30" s="10" t="s">
        <v>800</v>
      </c>
      <c r="F30" s="10" t="s">
        <v>800</v>
      </c>
      <c r="G30" s="10"/>
      <c r="H30" s="10"/>
      <c r="I30" s="10"/>
      <c r="J30" s="87"/>
      <c r="K30" s="87"/>
      <c r="L30" s="171" t="s">
        <v>800</v>
      </c>
      <c r="M30" s="171" t="s">
        <v>800</v>
      </c>
      <c r="O30" s="91" t="s">
        <v>618</v>
      </c>
      <c r="P30" s="11"/>
    </row>
    <row r="31" spans="3:16" ht="14.4">
      <c r="C31" s="9" t="s">
        <v>1036</v>
      </c>
      <c r="D31" s="10" t="s">
        <v>800</v>
      </c>
      <c r="E31" s="10" t="s">
        <v>800</v>
      </c>
      <c r="F31" s="10" t="s">
        <v>800</v>
      </c>
      <c r="G31" s="10"/>
      <c r="H31" s="10"/>
      <c r="I31" s="10"/>
      <c r="J31" s="87"/>
      <c r="K31" s="87"/>
      <c r="L31" s="171" t="s">
        <v>800</v>
      </c>
      <c r="M31" s="171" t="s">
        <v>800</v>
      </c>
      <c r="O31" s="91" t="s">
        <v>613</v>
      </c>
    </row>
    <row r="32" spans="3:16" ht="14.25" customHeight="1">
      <c r="C32" s="9" t="s">
        <v>1038</v>
      </c>
      <c r="D32" s="10" t="s">
        <v>800</v>
      </c>
      <c r="E32" s="10" t="s">
        <v>800</v>
      </c>
      <c r="F32" s="10" t="s">
        <v>800</v>
      </c>
      <c r="G32" s="10"/>
      <c r="H32" s="10"/>
      <c r="I32" s="10"/>
      <c r="J32" s="87"/>
      <c r="K32" s="87"/>
      <c r="L32" s="171" t="s">
        <v>800</v>
      </c>
      <c r="M32" s="171" t="s">
        <v>800</v>
      </c>
      <c r="O32" s="91" t="s">
        <v>608</v>
      </c>
    </row>
    <row r="33" spans="3:16" ht="14.4">
      <c r="C33" s="9"/>
      <c r="D33" s="10" t="s">
        <v>800</v>
      </c>
      <c r="E33" s="10" t="s">
        <v>800</v>
      </c>
      <c r="F33" s="10" t="s">
        <v>800</v>
      </c>
      <c r="G33" s="10"/>
      <c r="H33" s="10"/>
      <c r="I33" s="10"/>
      <c r="J33" s="87"/>
      <c r="K33" s="87"/>
      <c r="L33" s="171" t="s">
        <v>800</v>
      </c>
      <c r="M33" s="171" t="s">
        <v>800</v>
      </c>
      <c r="O33" s="91" t="s">
        <v>272</v>
      </c>
    </row>
    <row r="34" spans="3:16" ht="14.4">
      <c r="C34" s="9" t="s">
        <v>73</v>
      </c>
      <c r="D34" s="10" t="s">
        <v>800</v>
      </c>
      <c r="E34" s="10" t="s">
        <v>800</v>
      </c>
      <c r="F34" s="10" t="s">
        <v>800</v>
      </c>
      <c r="G34" s="10"/>
      <c r="H34" s="10"/>
      <c r="I34" s="10"/>
      <c r="J34" s="87"/>
      <c r="K34" s="87"/>
      <c r="L34" s="171" t="s">
        <v>800</v>
      </c>
      <c r="M34" s="171" t="s">
        <v>800</v>
      </c>
      <c r="O34" s="91" t="s">
        <v>601</v>
      </c>
    </row>
    <row r="35" spans="3:16" ht="14.4">
      <c r="C35" s="9"/>
      <c r="D35" s="10" t="s">
        <v>800</v>
      </c>
      <c r="E35" s="10" t="s">
        <v>800</v>
      </c>
      <c r="F35" s="10" t="s">
        <v>800</v>
      </c>
      <c r="G35" s="10"/>
      <c r="H35" s="10"/>
      <c r="I35" s="10"/>
      <c r="J35" s="87"/>
      <c r="K35" s="87"/>
      <c r="L35" s="171" t="s">
        <v>800</v>
      </c>
      <c r="M35" s="171" t="s">
        <v>800</v>
      </c>
      <c r="O35" s="91" t="s">
        <v>461</v>
      </c>
    </row>
    <row r="36" spans="3:16" ht="14.4">
      <c r="C36" s="9"/>
      <c r="D36" s="10" t="s">
        <v>800</v>
      </c>
      <c r="E36" s="10" t="s">
        <v>800</v>
      </c>
      <c r="F36" s="10" t="s">
        <v>800</v>
      </c>
      <c r="G36" s="10"/>
      <c r="H36" s="10"/>
      <c r="I36" s="10"/>
      <c r="J36" s="87"/>
      <c r="K36" s="87"/>
      <c r="L36" s="171" t="s">
        <v>800</v>
      </c>
      <c r="M36" s="171" t="s">
        <v>800</v>
      </c>
      <c r="O36" s="91" t="s">
        <v>48</v>
      </c>
    </row>
    <row r="37" spans="3:16" ht="14.4">
      <c r="C37" s="41" t="s">
        <v>506</v>
      </c>
      <c r="D37" s="15" t="s">
        <v>800</v>
      </c>
      <c r="E37" s="15" t="s">
        <v>800</v>
      </c>
      <c r="F37" s="10" t="s">
        <v>800</v>
      </c>
      <c r="G37" s="10" t="s">
        <v>800</v>
      </c>
      <c r="H37" s="10" t="s">
        <v>800</v>
      </c>
      <c r="I37" s="10" t="s">
        <v>800</v>
      </c>
      <c r="J37" s="87" t="s">
        <v>800</v>
      </c>
      <c r="K37" s="87" t="s">
        <v>800</v>
      </c>
      <c r="L37" s="171" t="s">
        <v>800</v>
      </c>
      <c r="M37" s="171" t="s">
        <v>800</v>
      </c>
      <c r="O37" s="91" t="s">
        <v>75</v>
      </c>
    </row>
    <row r="38" spans="3:16" ht="14.4">
      <c r="C38" s="9" t="s">
        <v>504</v>
      </c>
      <c r="D38" s="15" t="s">
        <v>800</v>
      </c>
      <c r="E38" s="15" t="s">
        <v>800</v>
      </c>
      <c r="F38" s="10" t="s">
        <v>800</v>
      </c>
      <c r="G38" s="10" t="s">
        <v>800</v>
      </c>
      <c r="H38" s="10" t="s">
        <v>800</v>
      </c>
      <c r="I38" s="10" t="s">
        <v>800</v>
      </c>
      <c r="J38" s="87" t="s">
        <v>800</v>
      </c>
      <c r="K38" s="87" t="s">
        <v>800</v>
      </c>
      <c r="L38" s="171" t="s">
        <v>800</v>
      </c>
      <c r="M38" s="171" t="s">
        <v>800</v>
      </c>
      <c r="O38" s="91" t="s">
        <v>43</v>
      </c>
    </row>
    <row r="39" spans="3:16" ht="14.4">
      <c r="C39" s="9" t="s">
        <v>890</v>
      </c>
      <c r="D39" s="15" t="s">
        <v>800</v>
      </c>
      <c r="E39" s="15" t="s">
        <v>800</v>
      </c>
      <c r="F39" s="10" t="s">
        <v>800</v>
      </c>
      <c r="G39" s="10" t="s">
        <v>800</v>
      </c>
      <c r="H39" s="10" t="s">
        <v>800</v>
      </c>
      <c r="I39" s="10" t="s">
        <v>800</v>
      </c>
      <c r="J39" s="87" t="s">
        <v>800</v>
      </c>
      <c r="K39" s="87" t="s">
        <v>800</v>
      </c>
      <c r="L39" s="171" t="s">
        <v>800</v>
      </c>
      <c r="M39" s="171" t="s">
        <v>800</v>
      </c>
      <c r="O39" s="91" t="s">
        <v>467</v>
      </c>
    </row>
    <row r="40" spans="3:16" ht="14.4">
      <c r="C40" s="9" t="s">
        <v>501</v>
      </c>
      <c r="D40" s="15" t="s">
        <v>800</v>
      </c>
      <c r="E40" s="15" t="s">
        <v>800</v>
      </c>
      <c r="F40" s="10" t="s">
        <v>800</v>
      </c>
      <c r="G40" s="10" t="s">
        <v>800</v>
      </c>
      <c r="H40" s="10" t="s">
        <v>800</v>
      </c>
      <c r="I40" s="10" t="s">
        <v>800</v>
      </c>
      <c r="J40" s="87" t="s">
        <v>800</v>
      </c>
      <c r="K40" s="87" t="s">
        <v>800</v>
      </c>
      <c r="L40" s="171" t="s">
        <v>800</v>
      </c>
      <c r="M40" s="171" t="s">
        <v>800</v>
      </c>
      <c r="O40" s="91" t="s">
        <v>436</v>
      </c>
    </row>
    <row r="41" spans="3:16" ht="14.4">
      <c r="C41" s="9" t="s">
        <v>1353</v>
      </c>
      <c r="D41" s="15" t="s">
        <v>800</v>
      </c>
      <c r="E41" s="15" t="s">
        <v>800</v>
      </c>
      <c r="F41" s="15" t="s">
        <v>800</v>
      </c>
      <c r="G41" s="10"/>
      <c r="H41" s="15" t="s">
        <v>800</v>
      </c>
      <c r="I41" s="10"/>
      <c r="J41" s="87" t="s">
        <v>800</v>
      </c>
      <c r="K41" s="87"/>
      <c r="L41" s="171" t="s">
        <v>800</v>
      </c>
      <c r="M41" s="171" t="s">
        <v>800</v>
      </c>
      <c r="O41" s="91" t="s">
        <v>44</v>
      </c>
    </row>
    <row r="42" spans="3:16" ht="14.4">
      <c r="C42" s="9" t="s">
        <v>1354</v>
      </c>
      <c r="D42" s="15" t="s">
        <v>800</v>
      </c>
      <c r="E42" s="87" t="s">
        <v>800</v>
      </c>
      <c r="F42" s="15" t="s">
        <v>800</v>
      </c>
      <c r="G42" s="86"/>
      <c r="H42" s="15" t="s">
        <v>800</v>
      </c>
      <c r="I42" s="85"/>
      <c r="J42" s="87" t="s">
        <v>800</v>
      </c>
      <c r="K42" s="87"/>
      <c r="L42" s="171" t="s">
        <v>800</v>
      </c>
      <c r="M42" s="171" t="s">
        <v>800</v>
      </c>
      <c r="O42" s="91" t="s">
        <v>459</v>
      </c>
    </row>
    <row r="43" spans="3:16" ht="14.4">
      <c r="C43" s="9" t="s">
        <v>472</v>
      </c>
      <c r="D43" s="15" t="s">
        <v>800</v>
      </c>
      <c r="E43" s="87" t="s">
        <v>800</v>
      </c>
      <c r="F43" s="15" t="s">
        <v>800</v>
      </c>
      <c r="G43" s="86"/>
      <c r="H43" s="15" t="s">
        <v>800</v>
      </c>
      <c r="I43" s="85"/>
      <c r="J43" s="87" t="s">
        <v>800</v>
      </c>
      <c r="K43" s="87"/>
      <c r="L43" s="171" t="s">
        <v>800</v>
      </c>
      <c r="M43" s="171" t="s">
        <v>800</v>
      </c>
      <c r="O43" s="91" t="s">
        <v>457</v>
      </c>
    </row>
    <row r="44" spans="3:16" ht="14.4">
      <c r="C44" s="9" t="s">
        <v>465</v>
      </c>
      <c r="D44" s="15" t="s">
        <v>800</v>
      </c>
      <c r="E44" s="15" t="s">
        <v>800</v>
      </c>
      <c r="F44" s="15" t="s">
        <v>800</v>
      </c>
      <c r="G44" s="88"/>
      <c r="H44" s="15" t="s">
        <v>800</v>
      </c>
      <c r="I44" s="88"/>
      <c r="J44" s="87" t="s">
        <v>800</v>
      </c>
      <c r="K44" s="87"/>
      <c r="L44" s="171" t="s">
        <v>800</v>
      </c>
      <c r="M44" s="171" t="s">
        <v>800</v>
      </c>
      <c r="O44" s="91" t="s">
        <v>118</v>
      </c>
    </row>
    <row r="45" spans="3:16" ht="14.4">
      <c r="C45" s="9" t="s">
        <v>463</v>
      </c>
      <c r="D45" s="15" t="s">
        <v>800</v>
      </c>
      <c r="E45" s="15" t="s">
        <v>800</v>
      </c>
      <c r="F45" s="15" t="s">
        <v>800</v>
      </c>
      <c r="G45" s="88"/>
      <c r="H45" s="15" t="s">
        <v>800</v>
      </c>
      <c r="I45" s="88"/>
      <c r="J45" s="87" t="s">
        <v>800</v>
      </c>
      <c r="K45" s="87"/>
      <c r="L45" s="171" t="s">
        <v>800</v>
      </c>
      <c r="M45" s="171" t="s">
        <v>800</v>
      </c>
      <c r="O45" s="91" t="s">
        <v>455</v>
      </c>
    </row>
    <row r="46" spans="3:16" ht="14.4">
      <c r="C46" s="9" t="s">
        <v>47</v>
      </c>
      <c r="D46" s="15" t="s">
        <v>800</v>
      </c>
      <c r="E46" s="15" t="s">
        <v>800</v>
      </c>
      <c r="F46" s="15" t="s">
        <v>800</v>
      </c>
      <c r="G46" s="88"/>
      <c r="H46" s="15" t="s">
        <v>800</v>
      </c>
      <c r="I46" s="15"/>
      <c r="J46" s="87" t="s">
        <v>800</v>
      </c>
      <c r="K46" s="87"/>
      <c r="L46" s="171" t="s">
        <v>800</v>
      </c>
      <c r="M46" s="171" t="s">
        <v>800</v>
      </c>
      <c r="O46" s="91" t="s">
        <v>564</v>
      </c>
    </row>
    <row r="47" spans="3:16" ht="14.4">
      <c r="C47" s="9" t="s">
        <v>461</v>
      </c>
      <c r="D47" s="15" t="s">
        <v>800</v>
      </c>
      <c r="E47" s="15" t="s">
        <v>800</v>
      </c>
      <c r="F47" s="15" t="s">
        <v>800</v>
      </c>
      <c r="G47" s="88"/>
      <c r="H47" s="15" t="s">
        <v>800</v>
      </c>
      <c r="I47" s="15"/>
      <c r="J47" s="87" t="s">
        <v>800</v>
      </c>
      <c r="K47" s="87"/>
      <c r="L47" s="171" t="s">
        <v>800</v>
      </c>
      <c r="M47" s="171" t="s">
        <v>800</v>
      </c>
      <c r="O47" s="91" t="s">
        <v>448</v>
      </c>
    </row>
    <row r="48" spans="3:16" ht="14.4">
      <c r="C48" s="9" t="s">
        <v>48</v>
      </c>
      <c r="D48" s="15" t="s">
        <v>800</v>
      </c>
      <c r="E48" s="15" t="s">
        <v>800</v>
      </c>
      <c r="F48" s="15" t="s">
        <v>800</v>
      </c>
      <c r="G48" s="88"/>
      <c r="H48" s="15" t="s">
        <v>800</v>
      </c>
      <c r="I48" s="15"/>
      <c r="J48" s="87" t="s">
        <v>800</v>
      </c>
      <c r="K48" s="87"/>
      <c r="L48" s="171" t="s">
        <v>800</v>
      </c>
      <c r="M48" s="171" t="s">
        <v>800</v>
      </c>
      <c r="O48" s="91" t="s">
        <v>548</v>
      </c>
      <c r="P48" s="1"/>
    </row>
    <row r="49" spans="3:15" ht="14.4">
      <c r="C49" s="9" t="s">
        <v>467</v>
      </c>
      <c r="D49" s="15" t="s">
        <v>800</v>
      </c>
      <c r="E49" s="15" t="s">
        <v>800</v>
      </c>
      <c r="F49" s="15" t="s">
        <v>800</v>
      </c>
      <c r="G49" s="88"/>
      <c r="H49" s="15" t="s">
        <v>800</v>
      </c>
      <c r="I49" s="15"/>
      <c r="J49" s="87" t="s">
        <v>800</v>
      </c>
      <c r="K49" s="87"/>
      <c r="L49" s="171" t="s">
        <v>800</v>
      </c>
      <c r="M49" s="171" t="s">
        <v>800</v>
      </c>
      <c r="O49" s="91" t="s">
        <v>446</v>
      </c>
    </row>
    <row r="50" spans="3:15" ht="14.4">
      <c r="C50" s="9" t="s">
        <v>459</v>
      </c>
      <c r="D50" s="15" t="s">
        <v>800</v>
      </c>
      <c r="E50" s="15" t="s">
        <v>800</v>
      </c>
      <c r="F50" s="15" t="s">
        <v>800</v>
      </c>
      <c r="G50" s="88"/>
      <c r="H50" s="15" t="s">
        <v>800</v>
      </c>
      <c r="I50" s="15"/>
      <c r="J50" s="87" t="s">
        <v>800</v>
      </c>
      <c r="K50" s="87"/>
      <c r="L50" s="171" t="s">
        <v>800</v>
      </c>
      <c r="M50" s="171" t="s">
        <v>800</v>
      </c>
      <c r="O50" s="91" t="s">
        <v>544</v>
      </c>
    </row>
    <row r="51" spans="3:15" ht="14.4">
      <c r="C51" s="9" t="s">
        <v>457</v>
      </c>
      <c r="D51" s="15" t="s">
        <v>800</v>
      </c>
      <c r="E51" s="15" t="s">
        <v>800</v>
      </c>
      <c r="F51" s="15" t="s">
        <v>800</v>
      </c>
      <c r="G51" s="88"/>
      <c r="H51" s="15" t="s">
        <v>800</v>
      </c>
      <c r="I51" s="15"/>
      <c r="J51" s="87" t="s">
        <v>800</v>
      </c>
      <c r="K51" s="87"/>
      <c r="L51" s="171" t="s">
        <v>800</v>
      </c>
      <c r="M51" s="171" t="s">
        <v>800</v>
      </c>
      <c r="O51" s="91" t="s">
        <v>444</v>
      </c>
    </row>
    <row r="52" spans="3:15" ht="14.4">
      <c r="C52" s="9" t="s">
        <v>455</v>
      </c>
      <c r="D52" s="15" t="s">
        <v>800</v>
      </c>
      <c r="E52" s="15" t="s">
        <v>800</v>
      </c>
      <c r="F52" s="15" t="s">
        <v>800</v>
      </c>
      <c r="G52" s="88"/>
      <c r="H52" s="15" t="s">
        <v>800</v>
      </c>
      <c r="I52" s="15"/>
      <c r="J52" s="87" t="s">
        <v>800</v>
      </c>
      <c r="K52" s="87"/>
      <c r="L52" s="171" t="s">
        <v>800</v>
      </c>
      <c r="M52" s="171" t="s">
        <v>800</v>
      </c>
      <c r="O52" s="91" t="s">
        <v>431</v>
      </c>
    </row>
    <row r="53" spans="3:15" ht="14.4">
      <c r="C53" s="9" t="s">
        <v>453</v>
      </c>
      <c r="D53" s="15" t="s">
        <v>800</v>
      </c>
      <c r="E53" s="15" t="s">
        <v>800</v>
      </c>
      <c r="F53" s="15" t="s">
        <v>800</v>
      </c>
      <c r="G53" s="88"/>
      <c r="H53" s="15" t="s">
        <v>800</v>
      </c>
      <c r="I53" s="15"/>
      <c r="J53" s="87" t="s">
        <v>800</v>
      </c>
      <c r="K53" s="87"/>
      <c r="L53" s="171" t="s">
        <v>800</v>
      </c>
      <c r="M53" s="171" t="s">
        <v>800</v>
      </c>
      <c r="O53" s="91" t="s">
        <v>237</v>
      </c>
    </row>
    <row r="54" spans="3:15" ht="14.4">
      <c r="C54" s="9" t="s">
        <v>450</v>
      </c>
      <c r="D54" s="15" t="s">
        <v>800</v>
      </c>
      <c r="E54" s="15" t="s">
        <v>800</v>
      </c>
      <c r="F54" s="15" t="s">
        <v>800</v>
      </c>
      <c r="G54" s="88"/>
      <c r="H54" s="15" t="s">
        <v>800</v>
      </c>
      <c r="I54" s="15"/>
      <c r="J54" s="87" t="s">
        <v>800</v>
      </c>
      <c r="K54" s="87"/>
      <c r="L54" s="171" t="s">
        <v>800</v>
      </c>
      <c r="M54" s="171" t="s">
        <v>800</v>
      </c>
      <c r="O54" s="91" t="s">
        <v>604</v>
      </c>
    </row>
    <row r="55" spans="3:15" ht="14.4">
      <c r="C55" s="9" t="s">
        <v>474</v>
      </c>
      <c r="D55" s="15" t="s">
        <v>800</v>
      </c>
      <c r="E55" s="15" t="s">
        <v>800</v>
      </c>
      <c r="F55" s="15" t="s">
        <v>800</v>
      </c>
      <c r="G55" s="88"/>
      <c r="H55" s="15" t="s">
        <v>800</v>
      </c>
      <c r="I55" s="15"/>
      <c r="J55" s="87" t="s">
        <v>800</v>
      </c>
      <c r="K55" s="87"/>
      <c r="L55" s="171" t="s">
        <v>800</v>
      </c>
      <c r="M55" s="171" t="s">
        <v>800</v>
      </c>
      <c r="O55" s="134" t="s">
        <v>1034</v>
      </c>
    </row>
    <row r="56" spans="3:15" ht="14.4">
      <c r="C56" s="9" t="s">
        <v>448</v>
      </c>
      <c r="D56" s="15" t="s">
        <v>800</v>
      </c>
      <c r="E56" s="15" t="s">
        <v>800</v>
      </c>
      <c r="F56" s="15" t="s">
        <v>800</v>
      </c>
      <c r="G56" s="88"/>
      <c r="H56" s="15" t="s">
        <v>800</v>
      </c>
      <c r="I56" s="15"/>
      <c r="J56" s="87" t="s">
        <v>800</v>
      </c>
      <c r="K56" s="87"/>
      <c r="L56" s="171" t="s">
        <v>800</v>
      </c>
      <c r="M56" s="171" t="s">
        <v>800</v>
      </c>
      <c r="O56" s="134" t="s">
        <v>1032</v>
      </c>
    </row>
    <row r="57" spans="3:15" ht="14.4">
      <c r="C57" s="9" t="s">
        <v>446</v>
      </c>
      <c r="D57" s="15" t="s">
        <v>800</v>
      </c>
      <c r="E57" s="15" t="s">
        <v>800</v>
      </c>
      <c r="F57" s="15" t="s">
        <v>800</v>
      </c>
      <c r="G57" s="88"/>
      <c r="H57" s="15" t="s">
        <v>800</v>
      </c>
      <c r="I57" s="15"/>
      <c r="J57" s="87" t="s">
        <v>800</v>
      </c>
      <c r="K57" s="87"/>
      <c r="L57" s="171" t="s">
        <v>800</v>
      </c>
      <c r="M57" s="171" t="s">
        <v>800</v>
      </c>
      <c r="O57" s="134" t="s">
        <v>1036</v>
      </c>
    </row>
    <row r="58" spans="3:15" ht="14.4">
      <c r="C58" s="9" t="s">
        <v>444</v>
      </c>
      <c r="D58" s="15" t="s">
        <v>800</v>
      </c>
      <c r="E58" s="15" t="s">
        <v>800</v>
      </c>
      <c r="F58" s="15" t="s">
        <v>800</v>
      </c>
      <c r="G58" s="88"/>
      <c r="H58" s="15" t="s">
        <v>800</v>
      </c>
      <c r="I58" s="15"/>
      <c r="J58" s="87" t="s">
        <v>800</v>
      </c>
      <c r="K58" s="87"/>
      <c r="L58" s="171" t="s">
        <v>800</v>
      </c>
      <c r="M58" s="171" t="s">
        <v>800</v>
      </c>
      <c r="O58" s="134" t="s">
        <v>1038</v>
      </c>
    </row>
    <row r="59" spans="3:15" ht="14.4">
      <c r="C59" s="9"/>
      <c r="D59" s="15" t="s">
        <v>800</v>
      </c>
      <c r="E59" s="15" t="s">
        <v>800</v>
      </c>
      <c r="F59" s="15" t="s">
        <v>800</v>
      </c>
      <c r="G59" s="88"/>
      <c r="H59" s="15" t="s">
        <v>800</v>
      </c>
      <c r="I59" s="15"/>
      <c r="J59" s="87" t="s">
        <v>800</v>
      </c>
      <c r="K59" s="87"/>
      <c r="L59" s="171" t="s">
        <v>800</v>
      </c>
      <c r="M59" s="171" t="s">
        <v>800</v>
      </c>
      <c r="O59" s="91" t="s">
        <v>36</v>
      </c>
    </row>
    <row r="60" spans="3:15" ht="14.4">
      <c r="C60" s="41" t="s">
        <v>72</v>
      </c>
      <c r="D60" s="15"/>
      <c r="E60" s="15"/>
      <c r="F60" s="10"/>
      <c r="G60" s="10"/>
      <c r="H60" s="10"/>
      <c r="I60" s="10"/>
      <c r="K60" s="87"/>
      <c r="L60" s="171" t="s">
        <v>800</v>
      </c>
      <c r="M60" s="171" t="s">
        <v>800</v>
      </c>
      <c r="O60" s="91" t="s">
        <v>33</v>
      </c>
    </row>
    <row r="61" spans="3:15" ht="14.4">
      <c r="C61" s="41" t="s">
        <v>74</v>
      </c>
      <c r="D61" s="15"/>
      <c r="E61" s="15"/>
      <c r="F61" s="15"/>
      <c r="G61" s="15"/>
      <c r="H61" s="15"/>
      <c r="I61" s="15"/>
      <c r="J61" s="87"/>
      <c r="K61" s="87"/>
      <c r="L61" s="171" t="s">
        <v>800</v>
      </c>
      <c r="M61" s="171" t="s">
        <v>800</v>
      </c>
      <c r="O61" s="91" t="s">
        <v>31</v>
      </c>
    </row>
    <row r="62" spans="3:15" ht="14.4">
      <c r="C62" s="41" t="s">
        <v>892</v>
      </c>
      <c r="D62" s="15"/>
      <c r="E62" s="15"/>
      <c r="F62" s="15"/>
      <c r="G62" s="15"/>
      <c r="H62" s="15"/>
      <c r="I62" s="15"/>
      <c r="J62" s="87"/>
      <c r="K62" s="87"/>
      <c r="L62" s="171" t="s">
        <v>800</v>
      </c>
      <c r="M62" s="171" t="s">
        <v>800</v>
      </c>
      <c r="O62" s="91" t="s">
        <v>32</v>
      </c>
    </row>
    <row r="63" spans="3:15" ht="14.4">
      <c r="C63" s="41" t="s">
        <v>896</v>
      </c>
      <c r="D63" s="15"/>
      <c r="E63" s="15"/>
      <c r="F63" s="15"/>
      <c r="G63" s="15"/>
      <c r="H63" s="15"/>
      <c r="I63" s="15"/>
      <c r="J63" s="87"/>
      <c r="K63" s="87"/>
      <c r="L63" s="171" t="s">
        <v>800</v>
      </c>
      <c r="M63" s="171" t="s">
        <v>800</v>
      </c>
      <c r="O63" s="91" t="s">
        <v>350</v>
      </c>
    </row>
    <row r="64" spans="3:15" ht="14.4">
      <c r="C64" s="41" t="s">
        <v>75</v>
      </c>
      <c r="D64" s="15"/>
      <c r="E64" s="15"/>
      <c r="F64" s="15"/>
      <c r="G64" s="15"/>
      <c r="H64" s="15"/>
      <c r="I64" s="15"/>
      <c r="J64" s="87"/>
      <c r="K64" s="87"/>
      <c r="L64" s="171" t="s">
        <v>800</v>
      </c>
      <c r="M64" s="171" t="s">
        <v>800</v>
      </c>
      <c r="O64" s="91" t="s">
        <v>34</v>
      </c>
    </row>
    <row r="65" spans="3:15" ht="14.4">
      <c r="C65" s="41" t="s">
        <v>436</v>
      </c>
      <c r="D65" s="15"/>
      <c r="E65" s="15"/>
      <c r="F65" s="15"/>
      <c r="G65" s="15"/>
      <c r="H65" s="15"/>
      <c r="I65" s="15"/>
      <c r="J65" s="87"/>
      <c r="K65" s="87"/>
      <c r="L65" s="171" t="s">
        <v>800</v>
      </c>
      <c r="M65" s="171" t="s">
        <v>800</v>
      </c>
      <c r="O65" s="91" t="s">
        <v>38</v>
      </c>
    </row>
    <row r="66" spans="3:15" ht="14.4">
      <c r="C66" s="41" t="s">
        <v>431</v>
      </c>
      <c r="D66" s="15"/>
      <c r="E66" s="15"/>
      <c r="F66" s="15"/>
      <c r="G66" s="15"/>
      <c r="H66" s="15"/>
      <c r="I66" s="15"/>
      <c r="J66" s="87"/>
      <c r="K66" s="87"/>
      <c r="L66" s="171" t="s">
        <v>800</v>
      </c>
      <c r="M66" s="171" t="s">
        <v>800</v>
      </c>
      <c r="O66" s="91" t="s">
        <v>37</v>
      </c>
    </row>
    <row r="67" spans="3:15" ht="14.4">
      <c r="C67" s="175" t="s">
        <v>76</v>
      </c>
      <c r="D67" s="15"/>
      <c r="E67" s="15"/>
      <c r="F67" s="15"/>
      <c r="G67" s="15"/>
      <c r="H67" s="15"/>
      <c r="I67" s="15"/>
      <c r="J67" s="87"/>
      <c r="K67" s="87"/>
      <c r="L67" s="171" t="s">
        <v>800</v>
      </c>
      <c r="M67" s="171" t="s">
        <v>800</v>
      </c>
      <c r="O67" s="91" t="s">
        <v>330</v>
      </c>
    </row>
    <row r="68" spans="3:15" ht="14.4">
      <c r="C68" s="176" t="s">
        <v>255</v>
      </c>
      <c r="D68" s="177" t="s">
        <v>800</v>
      </c>
      <c r="E68" s="177" t="s">
        <v>800</v>
      </c>
      <c r="F68" s="177" t="s">
        <v>800</v>
      </c>
      <c r="G68" s="177"/>
      <c r="H68" s="177" t="s">
        <v>800</v>
      </c>
      <c r="I68" s="177" t="s">
        <v>800</v>
      </c>
      <c r="J68" s="171"/>
      <c r="K68" s="171" t="s">
        <v>800</v>
      </c>
      <c r="L68" s="171" t="s">
        <v>800</v>
      </c>
      <c r="M68" s="171" t="s">
        <v>800</v>
      </c>
      <c r="O68" s="91" t="s">
        <v>76</v>
      </c>
    </row>
    <row r="69" spans="3:15" ht="14.4">
      <c r="C69" s="176" t="s">
        <v>252</v>
      </c>
      <c r="D69" s="177" t="s">
        <v>800</v>
      </c>
      <c r="E69" s="177" t="s">
        <v>800</v>
      </c>
      <c r="F69" s="177" t="s">
        <v>800</v>
      </c>
      <c r="G69" s="177"/>
      <c r="H69" s="177" t="s">
        <v>800</v>
      </c>
      <c r="I69" s="177" t="s">
        <v>800</v>
      </c>
      <c r="J69" s="171"/>
      <c r="K69" s="171" t="s">
        <v>800</v>
      </c>
      <c r="L69" s="171" t="s">
        <v>800</v>
      </c>
      <c r="M69" s="171" t="s">
        <v>800</v>
      </c>
      <c r="O69" s="91" t="s">
        <v>305</v>
      </c>
    </row>
    <row r="70" spans="3:15" ht="14.4">
      <c r="C70" s="176" t="s">
        <v>246</v>
      </c>
      <c r="D70" s="177" t="s">
        <v>800</v>
      </c>
      <c r="E70" s="177" t="s">
        <v>800</v>
      </c>
      <c r="F70" s="177" t="s">
        <v>800</v>
      </c>
      <c r="G70" s="177"/>
      <c r="H70" s="177" t="s">
        <v>800</v>
      </c>
      <c r="I70" s="177" t="s">
        <v>800</v>
      </c>
      <c r="J70" s="171"/>
      <c r="K70" s="171" t="s">
        <v>800</v>
      </c>
      <c r="L70" s="171" t="s">
        <v>800</v>
      </c>
      <c r="M70" s="171" t="s">
        <v>800</v>
      </c>
      <c r="O70" s="121" t="s">
        <v>1058</v>
      </c>
    </row>
    <row r="71" spans="3:15" ht="14.4">
      <c r="C71" s="176" t="s">
        <v>219</v>
      </c>
      <c r="D71" s="177" t="s">
        <v>800</v>
      </c>
      <c r="E71" s="177" t="s">
        <v>800</v>
      </c>
      <c r="F71" s="177" t="s">
        <v>800</v>
      </c>
      <c r="G71" s="177"/>
      <c r="H71" s="177" t="s">
        <v>800</v>
      </c>
      <c r="I71" s="177" t="s">
        <v>800</v>
      </c>
      <c r="J71" s="171"/>
      <c r="K71" s="171" t="s">
        <v>800</v>
      </c>
      <c r="L71" s="171" t="s">
        <v>800</v>
      </c>
      <c r="M71" s="171" t="s">
        <v>800</v>
      </c>
      <c r="O71" s="91" t="s">
        <v>255</v>
      </c>
    </row>
    <row r="72" spans="3:15" ht="14.4">
      <c r="C72" s="176" t="s">
        <v>618</v>
      </c>
      <c r="D72" s="177" t="s">
        <v>800</v>
      </c>
      <c r="E72" s="177" t="s">
        <v>800</v>
      </c>
      <c r="F72" s="177" t="s">
        <v>800</v>
      </c>
      <c r="G72" s="177"/>
      <c r="H72" s="177" t="s">
        <v>800</v>
      </c>
      <c r="I72" s="177"/>
      <c r="J72" s="171"/>
      <c r="K72" s="171" t="s">
        <v>800</v>
      </c>
      <c r="L72" s="171" t="s">
        <v>800</v>
      </c>
      <c r="M72" s="171" t="s">
        <v>800</v>
      </c>
      <c r="O72" s="91" t="s">
        <v>252</v>
      </c>
    </row>
    <row r="73" spans="3:15" ht="14.4">
      <c r="C73" s="176" t="s">
        <v>613</v>
      </c>
      <c r="D73" s="177" t="s">
        <v>800</v>
      </c>
      <c r="E73" s="177" t="s">
        <v>800</v>
      </c>
      <c r="F73" s="177" t="s">
        <v>800</v>
      </c>
      <c r="G73" s="177"/>
      <c r="H73" s="177" t="s">
        <v>800</v>
      </c>
      <c r="I73" s="177"/>
      <c r="J73" s="171"/>
      <c r="K73" s="171" t="s">
        <v>800</v>
      </c>
      <c r="L73" s="171" t="s">
        <v>800</v>
      </c>
      <c r="M73" s="171" t="s">
        <v>800</v>
      </c>
      <c r="O73" s="91" t="s">
        <v>246</v>
      </c>
    </row>
    <row r="74" spans="3:15" ht="14.4">
      <c r="C74" s="176" t="s">
        <v>608</v>
      </c>
      <c r="D74" s="177" t="s">
        <v>800</v>
      </c>
      <c r="E74" s="177" t="s">
        <v>800</v>
      </c>
      <c r="F74" s="177" t="s">
        <v>800</v>
      </c>
      <c r="G74" s="177"/>
      <c r="H74" s="177" t="s">
        <v>800</v>
      </c>
      <c r="I74" s="177"/>
      <c r="J74" s="171"/>
      <c r="K74" s="171" t="s">
        <v>800</v>
      </c>
      <c r="L74" s="171" t="s">
        <v>800</v>
      </c>
      <c r="M74" s="171" t="s">
        <v>800</v>
      </c>
      <c r="O74" s="91" t="s">
        <v>219</v>
      </c>
    </row>
    <row r="75" spans="3:15" ht="14.4">
      <c r="C75" s="176" t="s">
        <v>298</v>
      </c>
      <c r="D75" s="177" t="s">
        <v>800</v>
      </c>
      <c r="E75" s="177" t="s">
        <v>800</v>
      </c>
      <c r="F75" s="177" t="s">
        <v>800</v>
      </c>
      <c r="G75" s="177"/>
      <c r="H75" s="177"/>
      <c r="I75" s="177"/>
      <c r="J75" s="171"/>
      <c r="K75" s="171"/>
      <c r="L75" s="171" t="s">
        <v>800</v>
      </c>
      <c r="M75" s="171" t="s">
        <v>800</v>
      </c>
      <c r="O75" s="91" t="s">
        <v>506</v>
      </c>
    </row>
    <row r="76" spans="3:15" ht="14.4">
      <c r="C76" s="176" t="s">
        <v>296</v>
      </c>
      <c r="D76" s="177" t="s">
        <v>800</v>
      </c>
      <c r="E76" s="177" t="s">
        <v>800</v>
      </c>
      <c r="F76" s="177" t="s">
        <v>800</v>
      </c>
      <c r="G76" s="177"/>
      <c r="H76" s="177"/>
      <c r="I76" s="177"/>
      <c r="J76" s="171"/>
      <c r="K76" s="171"/>
      <c r="L76" s="171" t="s">
        <v>800</v>
      </c>
      <c r="M76" s="171" t="s">
        <v>800</v>
      </c>
      <c r="O76" s="91" t="s">
        <v>504</v>
      </c>
    </row>
    <row r="77" spans="3:15" ht="14.4">
      <c r="C77" s="176" t="s">
        <v>290</v>
      </c>
      <c r="D77" s="177" t="s">
        <v>800</v>
      </c>
      <c r="E77" s="177" t="s">
        <v>800</v>
      </c>
      <c r="F77" s="177" t="s">
        <v>800</v>
      </c>
      <c r="G77" s="177"/>
      <c r="H77" s="177"/>
      <c r="I77" s="177"/>
      <c r="J77" s="171"/>
      <c r="K77" s="171"/>
      <c r="L77" s="171" t="s">
        <v>800</v>
      </c>
      <c r="M77" s="171" t="s">
        <v>800</v>
      </c>
      <c r="O77" s="121"/>
    </row>
    <row r="78" spans="3:15" ht="14.4">
      <c r="C78" s="176" t="s">
        <v>288</v>
      </c>
      <c r="D78" s="177" t="s">
        <v>800</v>
      </c>
      <c r="E78" s="177" t="s">
        <v>800</v>
      </c>
      <c r="F78" s="177" t="s">
        <v>800</v>
      </c>
      <c r="G78" s="177"/>
      <c r="H78" s="177"/>
      <c r="I78" s="177"/>
      <c r="J78" s="171"/>
      <c r="K78" s="171"/>
      <c r="L78" s="171" t="s">
        <v>800</v>
      </c>
      <c r="M78" s="171" t="s">
        <v>800</v>
      </c>
      <c r="O78" s="121"/>
    </row>
    <row r="79" spans="3:15" ht="14.4">
      <c r="C79" s="176" t="s">
        <v>237</v>
      </c>
      <c r="D79" s="177" t="s">
        <v>800</v>
      </c>
      <c r="E79" s="177" t="s">
        <v>800</v>
      </c>
      <c r="F79" s="177" t="s">
        <v>800</v>
      </c>
      <c r="G79" s="177"/>
      <c r="H79" s="177"/>
      <c r="I79" s="177"/>
      <c r="J79" s="171"/>
      <c r="K79" s="171"/>
      <c r="L79" s="171" t="s">
        <v>800</v>
      </c>
      <c r="M79" s="171" t="s">
        <v>800</v>
      </c>
      <c r="O79" s="91"/>
    </row>
    <row r="80" spans="3:15" ht="14.4">
      <c r="C80" s="176" t="s">
        <v>604</v>
      </c>
      <c r="D80" s="177" t="s">
        <v>800</v>
      </c>
      <c r="E80" s="177" t="s">
        <v>800</v>
      </c>
      <c r="F80" s="177" t="s">
        <v>800</v>
      </c>
      <c r="G80" s="177"/>
      <c r="H80" s="177"/>
      <c r="I80" s="177"/>
      <c r="J80" s="171"/>
      <c r="K80" s="171"/>
      <c r="L80" s="171" t="s">
        <v>800</v>
      </c>
      <c r="M80" s="171" t="s">
        <v>800</v>
      </c>
      <c r="O80" s="91"/>
    </row>
    <row r="81" spans="3:15" ht="14.4">
      <c r="C81" s="178" t="s">
        <v>1034</v>
      </c>
      <c r="D81" s="177" t="s">
        <v>800</v>
      </c>
      <c r="E81" s="177" t="s">
        <v>800</v>
      </c>
      <c r="F81" s="177" t="s">
        <v>800</v>
      </c>
      <c r="G81" s="177"/>
      <c r="H81" s="177"/>
      <c r="I81" s="177"/>
      <c r="J81" s="171"/>
      <c r="K81" s="171"/>
      <c r="L81" s="171" t="s">
        <v>800</v>
      </c>
      <c r="M81" s="171" t="s">
        <v>800</v>
      </c>
      <c r="O81" s="91"/>
    </row>
    <row r="82" spans="3:15" ht="14.4">
      <c r="C82" s="178" t="s">
        <v>1032</v>
      </c>
      <c r="D82" s="177" t="s">
        <v>800</v>
      </c>
      <c r="E82" s="177" t="s">
        <v>800</v>
      </c>
      <c r="F82" s="177" t="s">
        <v>800</v>
      </c>
      <c r="G82" s="177"/>
      <c r="H82" s="177"/>
      <c r="I82" s="177"/>
      <c r="J82" s="171"/>
      <c r="K82" s="171"/>
      <c r="L82" s="171" t="s">
        <v>800</v>
      </c>
      <c r="M82" s="171" t="s">
        <v>800</v>
      </c>
      <c r="O82" s="91"/>
    </row>
    <row r="83" spans="3:15" ht="14.4">
      <c r="C83" s="178" t="s">
        <v>43</v>
      </c>
      <c r="D83" s="177" t="s">
        <v>800</v>
      </c>
      <c r="E83" s="177" t="s">
        <v>800</v>
      </c>
      <c r="F83" s="177" t="s">
        <v>800</v>
      </c>
      <c r="G83" s="177"/>
      <c r="H83" s="177"/>
      <c r="I83" s="177"/>
      <c r="J83" s="171"/>
      <c r="K83" s="171"/>
      <c r="L83" s="171" t="s">
        <v>800</v>
      </c>
      <c r="M83" s="171" t="s">
        <v>800</v>
      </c>
      <c r="O83" s="121"/>
    </row>
    <row r="84" spans="3:15" ht="14.4">
      <c r="C84" s="178" t="s">
        <v>44</v>
      </c>
      <c r="D84" s="177" t="s">
        <v>800</v>
      </c>
      <c r="E84" s="177" t="s">
        <v>800</v>
      </c>
      <c r="F84" s="177" t="s">
        <v>800</v>
      </c>
      <c r="G84" s="177"/>
      <c r="H84" s="177"/>
      <c r="I84" s="177"/>
      <c r="J84" s="171"/>
      <c r="K84" s="171"/>
      <c r="L84" s="171" t="s">
        <v>800</v>
      </c>
      <c r="M84" s="171" t="s">
        <v>800</v>
      </c>
      <c r="O84" s="121"/>
    </row>
    <row r="85" spans="3:15" ht="14.4">
      <c r="C85" s="176" t="s">
        <v>118</v>
      </c>
      <c r="D85" s="177" t="s">
        <v>800</v>
      </c>
      <c r="E85" s="177" t="s">
        <v>800</v>
      </c>
      <c r="F85" s="177" t="s">
        <v>800</v>
      </c>
      <c r="G85" s="177"/>
      <c r="H85" s="177"/>
      <c r="I85" s="177"/>
      <c r="J85" s="171"/>
      <c r="K85" s="171"/>
      <c r="L85" s="171" t="s">
        <v>800</v>
      </c>
      <c r="M85" s="171" t="s">
        <v>800</v>
      </c>
      <c r="O85" s="121"/>
    </row>
    <row r="86" spans="3:15" ht="14.4">
      <c r="C86" s="176" t="s">
        <v>564</v>
      </c>
      <c r="D86" s="177" t="s">
        <v>800</v>
      </c>
      <c r="E86" s="177" t="s">
        <v>800</v>
      </c>
      <c r="F86" s="177" t="s">
        <v>800</v>
      </c>
      <c r="G86" s="177"/>
      <c r="H86" s="177"/>
      <c r="I86" s="177"/>
      <c r="J86" s="171"/>
      <c r="K86" s="171"/>
      <c r="L86" s="171" t="s">
        <v>800</v>
      </c>
      <c r="M86" s="171" t="s">
        <v>800</v>
      </c>
      <c r="O86" s="91"/>
    </row>
    <row r="87" spans="3:15" ht="14.4">
      <c r="C87" s="176" t="s">
        <v>548</v>
      </c>
      <c r="D87" s="177" t="s">
        <v>800</v>
      </c>
      <c r="E87" s="177" t="s">
        <v>800</v>
      </c>
      <c r="F87" s="177" t="s">
        <v>800</v>
      </c>
      <c r="G87" s="177"/>
      <c r="H87" s="177"/>
      <c r="I87" s="177"/>
      <c r="J87" s="171"/>
      <c r="K87" s="171"/>
      <c r="L87" s="171" t="s">
        <v>800</v>
      </c>
      <c r="M87" s="171" t="s">
        <v>800</v>
      </c>
      <c r="O87" s="91"/>
    </row>
    <row r="88" spans="3:15" ht="14.4">
      <c r="C88" s="176" t="s">
        <v>544</v>
      </c>
      <c r="D88" s="177" t="s">
        <v>800</v>
      </c>
      <c r="E88" s="177" t="s">
        <v>800</v>
      </c>
      <c r="F88" s="177" t="s">
        <v>800</v>
      </c>
      <c r="G88" s="177"/>
      <c r="H88" s="177"/>
      <c r="I88" s="177"/>
      <c r="J88" s="171"/>
      <c r="K88" s="171"/>
      <c r="L88" s="171" t="s">
        <v>800</v>
      </c>
      <c r="M88" s="171" t="s">
        <v>800</v>
      </c>
      <c r="O88" s="121"/>
    </row>
    <row r="89" spans="3:15" ht="14.4">
      <c r="C89" s="41" t="s">
        <v>1010</v>
      </c>
      <c r="D89" s="177" t="s">
        <v>800</v>
      </c>
      <c r="E89" s="177" t="s">
        <v>800</v>
      </c>
      <c r="F89" s="177" t="s">
        <v>800</v>
      </c>
      <c r="G89" s="177" t="s">
        <v>800</v>
      </c>
      <c r="H89" s="177" t="s">
        <v>800</v>
      </c>
      <c r="I89" s="177" t="s">
        <v>800</v>
      </c>
      <c r="J89" s="177" t="s">
        <v>800</v>
      </c>
      <c r="K89" s="177" t="s">
        <v>800</v>
      </c>
      <c r="L89" s="177" t="s">
        <v>800</v>
      </c>
      <c r="M89" s="177" t="s">
        <v>800</v>
      </c>
      <c r="O89" s="121"/>
    </row>
    <row r="90" spans="3:15" ht="14.4">
      <c r="C90" s="41" t="s">
        <v>1011</v>
      </c>
      <c r="D90" s="177" t="s">
        <v>800</v>
      </c>
      <c r="E90" s="177" t="s">
        <v>800</v>
      </c>
      <c r="F90" s="177" t="s">
        <v>800</v>
      </c>
      <c r="G90" s="177" t="s">
        <v>800</v>
      </c>
      <c r="H90" s="177" t="s">
        <v>800</v>
      </c>
      <c r="I90" s="177" t="s">
        <v>800</v>
      </c>
      <c r="J90" s="177" t="s">
        <v>800</v>
      </c>
      <c r="K90" s="177" t="s">
        <v>800</v>
      </c>
      <c r="L90" s="177" t="s">
        <v>800</v>
      </c>
      <c r="M90" s="177" t="s">
        <v>800</v>
      </c>
      <c r="O90" s="91"/>
    </row>
    <row r="91" spans="3:15" ht="14.4">
      <c r="C91" s="41"/>
      <c r="O91" s="91"/>
    </row>
    <row r="92" spans="3:15" ht="14.4">
      <c r="C92" s="47" t="s">
        <v>851</v>
      </c>
      <c r="D92" s="15"/>
      <c r="E92" s="15"/>
      <c r="F92" s="10"/>
      <c r="G92" s="10"/>
      <c r="H92" s="10"/>
      <c r="I92" s="10"/>
      <c r="O92" s="121"/>
    </row>
    <row r="93" spans="3:15" ht="14.4">
      <c r="C93" s="41"/>
      <c r="D93" s="15"/>
      <c r="E93" s="15"/>
      <c r="F93" s="10"/>
      <c r="G93" s="10"/>
      <c r="H93" s="10"/>
      <c r="I93" s="10"/>
      <c r="O93" s="121"/>
    </row>
    <row r="94" spans="3:15" ht="27.6" thickBot="1">
      <c r="C94" s="16" t="s">
        <v>854</v>
      </c>
      <c r="D94" s="8" t="s">
        <v>647</v>
      </c>
      <c r="E94" s="8" t="s">
        <v>656</v>
      </c>
      <c r="F94" s="8" t="s">
        <v>1351</v>
      </c>
      <c r="G94" s="8" t="s">
        <v>788</v>
      </c>
      <c r="H94" s="8" t="s">
        <v>1352</v>
      </c>
      <c r="I94" s="8" t="s">
        <v>669</v>
      </c>
      <c r="J94" s="168" t="s">
        <v>1321</v>
      </c>
      <c r="K94" s="168" t="s">
        <v>1322</v>
      </c>
      <c r="L94" s="170"/>
      <c r="M94" s="170"/>
      <c r="O94" s="121"/>
    </row>
    <row r="95" spans="3:15" ht="15" thickTop="1">
      <c r="C95" s="14" t="s">
        <v>813</v>
      </c>
      <c r="D95" s="10"/>
      <c r="E95" s="10"/>
      <c r="F95" s="10"/>
      <c r="G95" s="10"/>
      <c r="H95" s="10"/>
      <c r="I95" s="10"/>
      <c r="J95" s="165"/>
      <c r="K95" s="165"/>
      <c r="L95" s="165"/>
      <c r="M95" s="165"/>
      <c r="O95" s="91"/>
    </row>
    <row r="96" spans="3:15" ht="14.4">
      <c r="C96" s="9" t="s">
        <v>814</v>
      </c>
      <c r="D96" s="10"/>
      <c r="E96" s="10"/>
      <c r="F96" s="10"/>
      <c r="G96" s="10"/>
      <c r="H96" s="10"/>
      <c r="I96" s="10" t="s">
        <v>800</v>
      </c>
      <c r="J96" s="165"/>
      <c r="K96" s="165"/>
      <c r="L96" s="165"/>
      <c r="M96" s="165"/>
      <c r="O96" s="121"/>
    </row>
    <row r="97" spans="3:15" ht="14.4">
      <c r="C97" s="14" t="s">
        <v>815</v>
      </c>
      <c r="D97" s="15"/>
      <c r="E97" s="15"/>
      <c r="F97" s="10"/>
      <c r="G97" s="10"/>
      <c r="H97" s="10"/>
      <c r="I97" s="10" t="s">
        <v>800</v>
      </c>
      <c r="J97" s="165"/>
      <c r="K97" s="165"/>
      <c r="L97" s="165"/>
      <c r="M97" s="165"/>
      <c r="O97" s="121"/>
    </row>
    <row r="98" spans="3:15" ht="14.4">
      <c r="C98" s="41" t="s">
        <v>585</v>
      </c>
      <c r="D98" s="15" t="s">
        <v>800</v>
      </c>
      <c r="E98" s="15" t="s">
        <v>800</v>
      </c>
      <c r="F98" s="10" t="s">
        <v>800</v>
      </c>
      <c r="G98" s="10"/>
      <c r="H98" s="10" t="s">
        <v>800</v>
      </c>
      <c r="I98" s="10" t="s">
        <v>800</v>
      </c>
      <c r="J98" s="165"/>
      <c r="K98" s="165" t="s">
        <v>800</v>
      </c>
      <c r="L98" s="165"/>
      <c r="M98" s="165"/>
      <c r="O98" s="121"/>
    </row>
    <row r="99" spans="3:15" ht="14.4">
      <c r="C99"/>
      <c r="D99"/>
      <c r="E99"/>
      <c r="F99"/>
      <c r="G99"/>
      <c r="H99"/>
      <c r="I99"/>
      <c r="O99" s="121"/>
    </row>
    <row r="100" spans="3:15" ht="14.4">
      <c r="C100" s="41"/>
      <c r="O100" s="121"/>
    </row>
    <row r="101" spans="3:15" ht="14.4">
      <c r="C101" s="47" t="s">
        <v>852</v>
      </c>
      <c r="D101" s="15"/>
      <c r="E101" s="15"/>
      <c r="F101" s="10"/>
      <c r="G101" s="10"/>
      <c r="H101" s="10"/>
      <c r="I101" s="10"/>
      <c r="O101" s="91"/>
    </row>
    <row r="102" spans="3:15" ht="14.4">
      <c r="C102" s="14"/>
      <c r="D102" s="15"/>
      <c r="E102" s="15"/>
      <c r="F102" s="10"/>
      <c r="G102" s="10"/>
      <c r="H102" s="10"/>
      <c r="I102" s="10"/>
      <c r="O102" s="91"/>
    </row>
    <row r="103" spans="3:15" ht="27.6" thickBot="1">
      <c r="C103" s="46" t="s">
        <v>792</v>
      </c>
      <c r="D103" s="8" t="s">
        <v>1344</v>
      </c>
      <c r="E103" s="8" t="s">
        <v>621</v>
      </c>
      <c r="F103" s="8" t="s">
        <v>616</v>
      </c>
      <c r="G103" s="8" t="s">
        <v>1337</v>
      </c>
      <c r="H103" s="8" t="s">
        <v>1349</v>
      </c>
      <c r="I103" s="8" t="s">
        <v>1350</v>
      </c>
      <c r="J103" s="8" t="s">
        <v>1343</v>
      </c>
      <c r="K103" s="8" t="s">
        <v>1341</v>
      </c>
      <c r="L103" s="172" t="s">
        <v>1359</v>
      </c>
      <c r="M103" s="172" t="s">
        <v>1360</v>
      </c>
      <c r="O103" s="91"/>
    </row>
    <row r="104" spans="3:15" ht="15" thickTop="1">
      <c r="C104" s="17" t="s">
        <v>506</v>
      </c>
      <c r="D104" s="18"/>
      <c r="E104" s="18"/>
      <c r="F104" s="18"/>
      <c r="G104" s="18"/>
      <c r="H104" s="18"/>
      <c r="I104" s="32"/>
      <c r="J104" s="166"/>
      <c r="K104" s="167"/>
      <c r="L104" s="167"/>
      <c r="M104" s="167"/>
      <c r="O104" s="121"/>
    </row>
    <row r="105" spans="3:15" ht="14.4">
      <c r="C105" s="42" t="s">
        <v>504</v>
      </c>
      <c r="D105" s="43"/>
      <c r="E105" s="43"/>
      <c r="F105" s="43"/>
      <c r="G105" s="43"/>
      <c r="H105" s="43"/>
      <c r="I105" s="44"/>
      <c r="J105" s="166"/>
      <c r="K105" s="167"/>
      <c r="L105" s="167"/>
      <c r="M105" s="167"/>
      <c r="O105" s="121"/>
    </row>
    <row r="106" spans="3:15" ht="14.4">
      <c r="C106" s="9" t="s">
        <v>891</v>
      </c>
      <c r="D106" s="10" t="s">
        <v>800</v>
      </c>
      <c r="E106" s="10" t="s">
        <v>800</v>
      </c>
      <c r="F106" s="10" t="s">
        <v>800</v>
      </c>
      <c r="G106" s="10" t="s">
        <v>800</v>
      </c>
      <c r="H106" s="10" t="s">
        <v>800</v>
      </c>
      <c r="I106" s="10" t="s">
        <v>800</v>
      </c>
      <c r="J106" s="166" t="s">
        <v>800</v>
      </c>
      <c r="K106" s="167" t="s">
        <v>800</v>
      </c>
      <c r="L106" s="167" t="s">
        <v>800</v>
      </c>
      <c r="M106" s="167" t="s">
        <v>800</v>
      </c>
      <c r="O106" s="121"/>
    </row>
    <row r="107" spans="3:15" ht="14.4">
      <c r="C107" s="42" t="s">
        <v>501</v>
      </c>
      <c r="D107" s="43" t="s">
        <v>800</v>
      </c>
      <c r="E107" s="43" t="s">
        <v>800</v>
      </c>
      <c r="F107" s="43" t="s">
        <v>800</v>
      </c>
      <c r="G107" s="43" t="s">
        <v>800</v>
      </c>
      <c r="H107" s="43" t="s">
        <v>800</v>
      </c>
      <c r="I107" s="44" t="s">
        <v>800</v>
      </c>
      <c r="J107" s="166" t="s">
        <v>800</v>
      </c>
      <c r="K107" s="167" t="s">
        <v>800</v>
      </c>
      <c r="L107" s="167" t="s">
        <v>800</v>
      </c>
      <c r="M107" s="167" t="s">
        <v>800</v>
      </c>
      <c r="O107" s="121"/>
    </row>
    <row r="108" spans="3:15" ht="14.4">
      <c r="C108" s="169" t="s">
        <v>1010</v>
      </c>
      <c r="D108" s="43" t="s">
        <v>800</v>
      </c>
      <c r="E108" s="43" t="s">
        <v>800</v>
      </c>
      <c r="F108" s="43" t="s">
        <v>800</v>
      </c>
      <c r="G108" s="43" t="s">
        <v>800</v>
      </c>
      <c r="H108" s="43" t="s">
        <v>800</v>
      </c>
      <c r="I108" s="43" t="s">
        <v>800</v>
      </c>
      <c r="J108" s="43" t="s">
        <v>800</v>
      </c>
      <c r="K108" s="43" t="s">
        <v>800</v>
      </c>
      <c r="L108" s="43" t="s">
        <v>800</v>
      </c>
      <c r="M108" s="43" t="s">
        <v>800</v>
      </c>
      <c r="O108" s="121"/>
    </row>
    <row r="109" spans="3:15" ht="14.4">
      <c r="C109" s="169" t="s">
        <v>1011</v>
      </c>
      <c r="D109" s="43" t="s">
        <v>800</v>
      </c>
      <c r="E109" s="43" t="s">
        <v>800</v>
      </c>
      <c r="F109" s="43" t="s">
        <v>800</v>
      </c>
      <c r="G109" s="43" t="s">
        <v>800</v>
      </c>
      <c r="H109" s="43" t="s">
        <v>800</v>
      </c>
      <c r="I109" s="43" t="s">
        <v>800</v>
      </c>
      <c r="J109" s="43" t="s">
        <v>800</v>
      </c>
      <c r="K109" s="43" t="s">
        <v>800</v>
      </c>
      <c r="L109" s="43" t="s">
        <v>800</v>
      </c>
      <c r="M109" s="43" t="s">
        <v>800</v>
      </c>
      <c r="O109" s="121"/>
    </row>
    <row r="110" spans="3:15" ht="14.4">
      <c r="C110" s="22"/>
      <c r="D110" s="23"/>
      <c r="E110" s="23"/>
      <c r="F110" s="23"/>
      <c r="G110" s="23"/>
      <c r="H110" s="23"/>
      <c r="I110" s="23"/>
      <c r="O110" s="91"/>
    </row>
    <row r="111" spans="3:15" ht="14.4">
      <c r="C111" s="22"/>
      <c r="D111" s="23"/>
      <c r="E111" s="23"/>
      <c r="F111" s="23"/>
      <c r="G111" s="23"/>
      <c r="H111" s="23"/>
      <c r="I111" s="23"/>
      <c r="O111" s="91"/>
    </row>
    <row r="112" spans="3:15" ht="14.4">
      <c r="C112" s="22"/>
      <c r="D112" s="23"/>
      <c r="E112" s="23"/>
      <c r="F112" s="23"/>
      <c r="G112" s="23"/>
      <c r="H112" s="23"/>
      <c r="I112" s="23"/>
      <c r="O112" s="91"/>
    </row>
    <row r="113" spans="3:16" ht="14.4">
      <c r="C113" s="48" t="s">
        <v>816</v>
      </c>
      <c r="D113" s="48" t="s">
        <v>817</v>
      </c>
      <c r="F113" s="25"/>
      <c r="G113" s="25"/>
      <c r="O113" s="91"/>
    </row>
    <row r="114" spans="3:16" ht="14.4">
      <c r="C114" s="49" t="s">
        <v>818</v>
      </c>
      <c r="D114" s="50"/>
      <c r="F114" s="25"/>
      <c r="G114" s="25"/>
      <c r="O114" s="121"/>
    </row>
    <row r="115" spans="3:16" ht="14.4">
      <c r="O115" s="121"/>
    </row>
    <row r="116" spans="3:16" ht="27.6" thickBot="1">
      <c r="C116" s="16"/>
      <c r="D116" s="8" t="s">
        <v>819</v>
      </c>
      <c r="E116" s="26" t="s">
        <v>820</v>
      </c>
      <c r="O116" s="91"/>
    </row>
    <row r="117" spans="3:16" ht="15" thickTop="1">
      <c r="C117" s="27" t="s">
        <v>733</v>
      </c>
      <c r="D117" s="28" t="s">
        <v>821</v>
      </c>
      <c r="E117" s="29"/>
      <c r="O117" s="91"/>
    </row>
    <row r="118" spans="3:16" ht="14.4">
      <c r="C118" s="19" t="s">
        <v>734</v>
      </c>
      <c r="D118" s="20" t="s">
        <v>821</v>
      </c>
      <c r="E118" s="30"/>
      <c r="O118" s="91"/>
    </row>
    <row r="119" spans="3:16" ht="14.4">
      <c r="C119" s="31" t="s">
        <v>735</v>
      </c>
      <c r="D119" s="28" t="s">
        <v>821</v>
      </c>
      <c r="E119" s="32"/>
      <c r="O119" s="91"/>
    </row>
    <row r="120" spans="3:16" ht="14.4">
      <c r="C120" s="19" t="s">
        <v>822</v>
      </c>
      <c r="D120" s="20" t="s">
        <v>821</v>
      </c>
      <c r="E120" s="30"/>
      <c r="O120" s="121"/>
    </row>
    <row r="121" spans="3:16" ht="14.4">
      <c r="C121" s="33" t="s">
        <v>823</v>
      </c>
      <c r="D121" s="18"/>
      <c r="E121" s="32">
        <v>-2</v>
      </c>
      <c r="O121" s="121"/>
      <c r="P121" s="121"/>
    </row>
    <row r="122" spans="3:16" ht="27">
      <c r="C122" s="34" t="s">
        <v>732</v>
      </c>
      <c r="D122" s="20"/>
      <c r="E122" s="30">
        <v>0</v>
      </c>
      <c r="O122" s="91"/>
    </row>
    <row r="123" spans="3:16" ht="14.4">
      <c r="C123" s="35" t="s">
        <v>585</v>
      </c>
      <c r="D123" s="36"/>
      <c r="E123" s="37">
        <v>-2</v>
      </c>
      <c r="O123" s="91"/>
    </row>
    <row r="124" spans="3:16" ht="14.4">
      <c r="O124" s="91"/>
    </row>
    <row r="125" spans="3:16" ht="14.4">
      <c r="C125" s="24" t="s">
        <v>816</v>
      </c>
      <c r="D125" s="24" t="s">
        <v>817</v>
      </c>
      <c r="O125" s="91"/>
    </row>
    <row r="126" spans="3:16" ht="14.4">
      <c r="C126" s="38" t="s">
        <v>821</v>
      </c>
      <c r="D126" s="25" t="s">
        <v>824</v>
      </c>
      <c r="O126" s="91"/>
    </row>
    <row r="127" spans="3:16" ht="14.4">
      <c r="C127" s="39" t="s">
        <v>825</v>
      </c>
      <c r="D127" s="25" t="s">
        <v>826</v>
      </c>
      <c r="O127" s="91"/>
    </row>
    <row r="128" spans="3:16" ht="14.4">
      <c r="O128" s="91"/>
    </row>
    <row r="129" spans="3:15" ht="14.4">
      <c r="O129" s="91"/>
    </row>
    <row r="130" spans="3:15" ht="14.4">
      <c r="O130" s="91"/>
    </row>
    <row r="131" spans="3:15" ht="14.4">
      <c r="C131" s="38" t="s">
        <v>1331</v>
      </c>
      <c r="D131" s="163">
        <v>1.03</v>
      </c>
      <c r="O131" s="91"/>
    </row>
    <row r="132" spans="3:15" ht="14.4">
      <c r="O132" s="91"/>
    </row>
    <row r="133" spans="3:15" ht="14.4">
      <c r="O133" s="91"/>
    </row>
    <row r="134" spans="3:15" ht="14.4">
      <c r="F134"/>
      <c r="O134" s="91"/>
    </row>
    <row r="135" spans="3:15" ht="14.4">
      <c r="F135"/>
      <c r="O135" s="91"/>
    </row>
    <row r="136" spans="3:15" ht="14.4">
      <c r="F136"/>
      <c r="O136" s="91"/>
    </row>
    <row r="137" spans="3:15" ht="14.4">
      <c r="F137"/>
      <c r="O137" s="91"/>
    </row>
    <row r="138" spans="3:15" ht="14.4">
      <c r="F138"/>
      <c r="O138" s="91"/>
    </row>
    <row r="139" spans="3:15">
      <c r="F139"/>
    </row>
    <row r="140" spans="3:15">
      <c r="F140"/>
    </row>
    <row r="141" spans="3:15" ht="13.8">
      <c r="C141" s="161" t="s">
        <v>1326</v>
      </c>
      <c r="D141" s="72" t="s">
        <v>1327</v>
      </c>
      <c r="F141"/>
    </row>
    <row r="142" spans="3:15" ht="14.4">
      <c r="C142" s="74"/>
      <c r="D142" s="72" t="s">
        <v>1328</v>
      </c>
      <c r="F142"/>
    </row>
    <row r="143" spans="3:15" ht="13.8">
      <c r="C143" s="161" t="s">
        <v>1325</v>
      </c>
      <c r="D143" s="72" t="s">
        <v>1329</v>
      </c>
      <c r="F143"/>
    </row>
    <row r="144" spans="3:15" ht="13.8">
      <c r="C144" s="72"/>
      <c r="D144" s="72" t="s">
        <v>1330</v>
      </c>
      <c r="F144"/>
    </row>
    <row r="145" spans="3:6" ht="13.8">
      <c r="C145" s="154"/>
      <c r="D145" s="72" t="s">
        <v>1293</v>
      </c>
      <c r="F145"/>
    </row>
    <row r="146" spans="3:6" ht="13.8">
      <c r="C146" s="154"/>
      <c r="D146" s="72" t="s">
        <v>1294</v>
      </c>
    </row>
    <row r="147" spans="3:6" ht="13.8">
      <c r="C147" s="154"/>
      <c r="D147" s="72" t="s">
        <v>1295</v>
      </c>
    </row>
    <row r="148" spans="3:6" ht="13.8">
      <c r="C148" s="154"/>
      <c r="D148" s="72" t="s">
        <v>1296</v>
      </c>
    </row>
  </sheetData>
  <autoFilter ref="O1:P142">
    <filterColumn colId="0" showButton="0"/>
  </autoFilter>
  <mergeCells count="2">
    <mergeCell ref="O1:P1"/>
    <mergeCell ref="C1:I1"/>
  </mergeCells>
  <phoneticPr fontId="15" type="noConversion"/>
  <dataValidations count="1">
    <dataValidation type="list" allowBlank="1" showInputMessage="1" showErrorMessage="1" sqref="A2">
      <formula1>Currency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4" r:id="rId4" name="Button 8">
              <controlPr defaultSize="0" print="0" autoFill="0" autoPict="0" macro="[0]!UnProtectSH">
                <anchor moveWithCells="1" sizeWithCells="1">
                  <from>
                    <xdr:col>0</xdr:col>
                    <xdr:colOff>274320</xdr:colOff>
                    <xdr:row>4</xdr:row>
                    <xdr:rowOff>22860</xdr:rowOff>
                  </from>
                  <to>
                    <xdr:col>1</xdr:col>
                    <xdr:colOff>373380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5" name="Button 9">
              <controlPr defaultSize="0" print="0" autoFill="0" autoPict="0" macro="[0]!ProtectSH">
                <anchor moveWithCells="1" sizeWithCells="1">
                  <from>
                    <xdr:col>0</xdr:col>
                    <xdr:colOff>289560</xdr:colOff>
                    <xdr:row>6</xdr:row>
                    <xdr:rowOff>22860</xdr:rowOff>
                  </from>
                  <to>
                    <xdr:col>1</xdr:col>
                    <xdr:colOff>381000</xdr:colOff>
                    <xdr:row>8</xdr:row>
                    <xdr:rowOff>99060</xdr:rowOff>
                  </to>
                </anchor>
              </controlPr>
            </control>
          </mc:Choice>
        </mc:AlternateContent>
      </controls>
    </mc:Choice>
  </mc:AlternateContent>
  <tableParts count="4"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/>
  <dimension ref="A1:GF196"/>
  <sheetViews>
    <sheetView zoomScaleNormal="100" workbookViewId="0">
      <selection activeCell="EK67" sqref="EK67"/>
    </sheetView>
  </sheetViews>
  <sheetFormatPr defaultColWidth="9.109375" defaultRowHeight="13.2"/>
  <cols>
    <col min="1" max="1" width="25.88671875" style="55" customWidth="1"/>
    <col min="2" max="2" width="8.6640625" style="55" bestFit="1" customWidth="1"/>
    <col min="3" max="3" width="7.5546875" style="55" bestFit="1" customWidth="1"/>
    <col min="4" max="4" width="1.5546875" style="55" customWidth="1"/>
    <col min="5" max="5" width="25.88671875" style="55" customWidth="1"/>
    <col min="6" max="6" width="8.6640625" style="55" bestFit="1" customWidth="1"/>
    <col min="7" max="7" width="7.5546875" style="55" bestFit="1" customWidth="1"/>
    <col min="8" max="8" width="1.5546875" style="55" customWidth="1"/>
    <col min="9" max="9" width="22" style="55" bestFit="1" customWidth="1"/>
    <col min="10" max="11" width="9.109375" style="55"/>
    <col min="12" max="12" width="1.5546875" style="55" customWidth="1"/>
    <col min="13" max="13" width="22" style="55" bestFit="1" customWidth="1"/>
    <col min="14" max="15" width="9.109375" style="55"/>
    <col min="16" max="16" width="1.5546875" style="55" customWidth="1"/>
    <col min="17" max="17" width="25.44140625" style="55" customWidth="1"/>
    <col min="18" max="19" width="9.109375" style="55"/>
    <col min="20" max="20" width="1.88671875" style="55" customWidth="1"/>
    <col min="21" max="21" width="23.109375" style="55" bestFit="1" customWidth="1"/>
    <col min="22" max="23" width="9.109375" style="55"/>
    <col min="24" max="24" width="2.109375" style="55" customWidth="1"/>
    <col min="25" max="25" width="19.44140625" style="55" bestFit="1" customWidth="1"/>
    <col min="26" max="27" width="9.109375" style="55"/>
    <col min="28" max="28" width="2.109375" style="55" customWidth="1"/>
    <col min="29" max="29" width="19.44140625" style="55" bestFit="1" customWidth="1"/>
    <col min="30" max="31" width="9.109375" style="55"/>
    <col min="32" max="32" width="2.109375" style="55" customWidth="1"/>
    <col min="33" max="33" width="19.44140625" style="55" bestFit="1" customWidth="1"/>
    <col min="34" max="35" width="9.109375" style="55"/>
    <col min="36" max="36" width="2.109375" style="55" customWidth="1"/>
    <col min="37" max="37" width="15.109375" style="55" customWidth="1"/>
    <col min="38" max="39" width="9.109375" style="55"/>
    <col min="40" max="40" width="2.109375" style="55" customWidth="1"/>
    <col min="41" max="41" width="15.6640625" style="55" customWidth="1"/>
    <col min="42" max="43" width="9.109375" style="55"/>
    <col min="44" max="44" width="2.109375" style="55" customWidth="1"/>
    <col min="45" max="45" width="12.6640625" style="55" customWidth="1"/>
    <col min="46" max="47" width="9.109375" style="55"/>
    <col min="48" max="48" width="2.109375" style="55" customWidth="1"/>
    <col min="49" max="49" width="23.109375" style="55" customWidth="1"/>
    <col min="50" max="51" width="9.109375" style="55"/>
    <col min="52" max="52" width="2.109375" style="55" customWidth="1"/>
    <col min="53" max="53" width="13.44140625" style="55" customWidth="1"/>
    <col min="54" max="55" width="9.109375" style="55"/>
    <col min="56" max="56" width="2.109375" style="55" customWidth="1"/>
    <col min="57" max="57" width="13.5546875" style="55" customWidth="1"/>
    <col min="58" max="59" width="9.109375" style="55"/>
    <col min="60" max="60" width="2.109375" style="55" customWidth="1"/>
    <col min="61" max="61" width="13.6640625" style="55" customWidth="1"/>
    <col min="62" max="63" width="9.109375" style="55"/>
    <col min="64" max="64" width="2.109375" style="55" customWidth="1"/>
    <col min="65" max="65" width="11" style="55" customWidth="1"/>
    <col min="66" max="67" width="9.109375" style="55"/>
    <col min="68" max="68" width="2.109375" style="55" customWidth="1"/>
    <col min="69" max="71" width="9.109375" style="55"/>
    <col min="72" max="72" width="2.109375" style="55" customWidth="1"/>
    <col min="73" max="75" width="9.109375" style="55"/>
    <col min="76" max="76" width="2.109375" style="55" customWidth="1"/>
    <col min="77" max="77" width="21.44140625" style="55" customWidth="1"/>
    <col min="78" max="79" width="9.109375" style="55"/>
    <col min="80" max="80" width="2.109375" style="55" customWidth="1"/>
    <col min="81" max="81" width="19.44140625" style="60" customWidth="1"/>
    <col min="82" max="82" width="7.33203125" style="60" bestFit="1" customWidth="1"/>
    <col min="83" max="83" width="7.109375" style="60" bestFit="1" customWidth="1"/>
    <col min="84" max="84" width="2.109375" style="55" customWidth="1"/>
    <col min="85" max="85" width="19.44140625" style="60" customWidth="1"/>
    <col min="86" max="86" width="6.44140625" style="60" bestFit="1" customWidth="1"/>
    <col min="87" max="87" width="7.109375" style="60" bestFit="1" customWidth="1"/>
    <col min="88" max="88" width="2.109375" style="55" customWidth="1"/>
    <col min="89" max="91" width="9.109375" style="55"/>
    <col min="92" max="92" width="2.109375" style="55" customWidth="1"/>
    <col min="93" max="95" width="9.109375" style="55"/>
    <col min="96" max="96" width="2.109375" style="55" customWidth="1"/>
    <col min="97" max="97" width="14.44140625" style="55" customWidth="1"/>
    <col min="98" max="99" width="9.109375" style="55"/>
    <col min="100" max="100" width="2.109375" style="55" customWidth="1"/>
    <col min="101" max="103" width="9.109375" style="55"/>
    <col min="104" max="104" width="2.109375" style="55" customWidth="1"/>
    <col min="105" max="107" width="9.109375" style="55"/>
    <col min="108" max="108" width="2.109375" style="55" customWidth="1"/>
    <col min="109" max="111" width="9.109375" style="55"/>
    <col min="112" max="112" width="2.109375" style="55" customWidth="1"/>
    <col min="113" max="115" width="9.109375" style="55"/>
    <col min="116" max="116" width="2.109375" style="55" customWidth="1"/>
    <col min="117" max="119" width="9.109375" style="55"/>
    <col min="120" max="120" width="2.109375" style="55" customWidth="1"/>
    <col min="121" max="123" width="9.109375" style="55"/>
    <col min="124" max="124" width="2.109375" style="55" customWidth="1"/>
    <col min="125" max="127" width="9.109375" style="55"/>
    <col min="128" max="128" width="2.109375" style="55" customWidth="1"/>
    <col min="129" max="131" width="9.109375" style="55"/>
    <col min="132" max="132" width="2.109375" style="55" customWidth="1"/>
    <col min="133" max="135" width="9.109375" style="55"/>
    <col min="136" max="136" width="2.109375" style="55" customWidth="1"/>
    <col min="137" max="139" width="9.109375" style="55"/>
    <col min="140" max="140" width="2.109375" style="55" customWidth="1"/>
    <col min="141" max="143" width="9.109375" style="55"/>
    <col min="144" max="144" width="2.109375" style="55" customWidth="1"/>
    <col min="145" max="145" width="23.6640625" style="55" bestFit="1" customWidth="1"/>
    <col min="146" max="147" width="9.109375" style="55"/>
    <col min="148" max="148" width="2.109375" style="55" customWidth="1"/>
    <col min="149" max="151" width="9.109375" style="55"/>
    <col min="152" max="152" width="2.109375" style="55" customWidth="1"/>
    <col min="153" max="155" width="9.109375" style="55"/>
    <col min="156" max="156" width="2.109375" style="55" customWidth="1"/>
    <col min="157" max="159" width="9.109375" style="55"/>
    <col min="160" max="160" width="2.109375" style="55" customWidth="1"/>
    <col min="161" max="163" width="9.109375" style="55"/>
    <col min="164" max="164" width="2.109375" style="55" customWidth="1"/>
    <col min="165" max="167" width="9.109375" style="55"/>
    <col min="168" max="168" width="2.109375" style="55" customWidth="1"/>
    <col min="169" max="171" width="9.109375" style="55"/>
    <col min="172" max="172" width="2.109375" style="55" customWidth="1"/>
    <col min="173" max="175" width="9.109375" style="55"/>
    <col min="176" max="176" width="2.109375" style="55" customWidth="1"/>
    <col min="177" max="179" width="9.109375" style="55"/>
    <col min="180" max="180" width="2.109375" style="55" customWidth="1"/>
    <col min="181" max="183" width="9.109375" style="55"/>
    <col min="184" max="184" width="2.109375" style="55" customWidth="1"/>
    <col min="185" max="187" width="9.109375" style="55"/>
    <col min="188" max="188" width="2.109375" style="55" customWidth="1"/>
    <col min="189" max="16384" width="9.109375" style="55"/>
  </cols>
  <sheetData>
    <row r="1" spans="1:188" ht="13.8">
      <c r="A1" s="189" t="s">
        <v>733</v>
      </c>
      <c r="B1" s="189"/>
      <c r="C1" s="189"/>
      <c r="D1" s="53" t="s">
        <v>827</v>
      </c>
      <c r="E1" s="189" t="s">
        <v>733</v>
      </c>
      <c r="F1" s="189"/>
      <c r="G1" s="189"/>
      <c r="H1" s="53" t="s">
        <v>827</v>
      </c>
      <c r="I1" s="189" t="s">
        <v>733</v>
      </c>
      <c r="J1" s="189"/>
      <c r="K1" s="189"/>
      <c r="L1" s="54"/>
      <c r="M1" s="189" t="s">
        <v>733</v>
      </c>
      <c r="N1" s="189"/>
      <c r="O1" s="189"/>
      <c r="P1" s="54"/>
      <c r="Q1" s="189" t="s">
        <v>733</v>
      </c>
      <c r="R1" s="189"/>
      <c r="S1" s="189"/>
      <c r="T1" s="54"/>
      <c r="U1" s="189" t="s">
        <v>733</v>
      </c>
      <c r="V1" s="189"/>
      <c r="W1" s="189"/>
      <c r="X1" s="54"/>
      <c r="Y1" s="189" t="s">
        <v>733</v>
      </c>
      <c r="Z1" s="189"/>
      <c r="AA1" s="189"/>
      <c r="AB1" s="54"/>
      <c r="AC1" s="189" t="s">
        <v>733</v>
      </c>
      <c r="AD1" s="189"/>
      <c r="AE1" s="189"/>
      <c r="AF1" s="54"/>
      <c r="AG1" s="189" t="s">
        <v>733</v>
      </c>
      <c r="AH1" s="189"/>
      <c r="AI1" s="189"/>
      <c r="AJ1" s="53"/>
      <c r="AK1" s="189" t="s">
        <v>733</v>
      </c>
      <c r="AL1" s="189"/>
      <c r="AM1" s="189"/>
      <c r="AN1" s="53"/>
      <c r="AO1" s="189" t="s">
        <v>733</v>
      </c>
      <c r="AP1" s="189"/>
      <c r="AQ1" s="189"/>
      <c r="AR1" s="53"/>
      <c r="AS1" s="189" t="s">
        <v>733</v>
      </c>
      <c r="AT1" s="189"/>
      <c r="AU1" s="189"/>
      <c r="AV1" s="53"/>
      <c r="AW1" s="189" t="s">
        <v>733</v>
      </c>
      <c r="AX1" s="189"/>
      <c r="AY1" s="189"/>
      <c r="AZ1" s="53"/>
      <c r="BA1" s="189" t="s">
        <v>733</v>
      </c>
      <c r="BB1" s="189"/>
      <c r="BC1" s="189"/>
      <c r="BD1" s="53"/>
      <c r="BE1" s="189" t="s">
        <v>733</v>
      </c>
      <c r="BF1" s="189"/>
      <c r="BG1" s="189"/>
      <c r="BH1" s="54"/>
      <c r="BI1" s="189" t="s">
        <v>733</v>
      </c>
      <c r="BJ1" s="189"/>
      <c r="BK1" s="189"/>
      <c r="BL1" s="54"/>
      <c r="BM1" s="189" t="s">
        <v>733</v>
      </c>
      <c r="BN1" s="189"/>
      <c r="BO1" s="189"/>
      <c r="BP1" s="54"/>
      <c r="BQ1" s="189" t="s">
        <v>733</v>
      </c>
      <c r="BR1" s="189"/>
      <c r="BS1" s="189"/>
      <c r="BT1" s="54"/>
      <c r="BU1" s="189" t="s">
        <v>733</v>
      </c>
      <c r="BV1" s="189"/>
      <c r="BW1" s="189"/>
      <c r="BX1" s="54"/>
      <c r="BY1" s="189" t="s">
        <v>733</v>
      </c>
      <c r="BZ1" s="189"/>
      <c r="CA1" s="189"/>
      <c r="CB1" s="54"/>
      <c r="CC1" s="189" t="s">
        <v>733</v>
      </c>
      <c r="CD1" s="189"/>
      <c r="CE1" s="189"/>
      <c r="CF1" s="54"/>
      <c r="CG1" s="189" t="s">
        <v>733</v>
      </c>
      <c r="CH1" s="189"/>
      <c r="CI1" s="189"/>
      <c r="CJ1" s="54"/>
      <c r="CK1" s="189" t="s">
        <v>733</v>
      </c>
      <c r="CL1" s="189"/>
      <c r="CM1" s="189"/>
      <c r="CN1" s="54"/>
      <c r="CO1" s="189" t="s">
        <v>733</v>
      </c>
      <c r="CP1" s="189"/>
      <c r="CQ1" s="189"/>
      <c r="CR1" s="54"/>
      <c r="CS1" s="189" t="s">
        <v>733</v>
      </c>
      <c r="CT1" s="189"/>
      <c r="CU1" s="189"/>
      <c r="CV1" s="54"/>
      <c r="CW1" s="189" t="s">
        <v>733</v>
      </c>
      <c r="CX1" s="189"/>
      <c r="CY1" s="189"/>
      <c r="CZ1" s="54"/>
      <c r="DA1" s="189" t="s">
        <v>733</v>
      </c>
      <c r="DB1" s="189"/>
      <c r="DC1" s="189"/>
      <c r="DD1" s="54"/>
      <c r="DE1" s="189" t="s">
        <v>733</v>
      </c>
      <c r="DF1" s="189"/>
      <c r="DG1" s="189"/>
      <c r="DH1" s="54"/>
      <c r="DI1" s="189" t="s">
        <v>733</v>
      </c>
      <c r="DJ1" s="189"/>
      <c r="DK1" s="189"/>
      <c r="DL1" s="54"/>
      <c r="DM1" s="189" t="s">
        <v>733</v>
      </c>
      <c r="DN1" s="189"/>
      <c r="DO1" s="189"/>
      <c r="DP1" s="54"/>
      <c r="DQ1" s="189" t="s">
        <v>733</v>
      </c>
      <c r="DR1" s="189"/>
      <c r="DS1" s="189"/>
      <c r="DT1" s="54"/>
      <c r="DU1" s="189" t="s">
        <v>733</v>
      </c>
      <c r="DV1" s="189"/>
      <c r="DW1" s="189"/>
      <c r="DX1" s="54"/>
      <c r="DY1" s="189" t="s">
        <v>733</v>
      </c>
      <c r="DZ1" s="189"/>
      <c r="EA1" s="189"/>
      <c r="EB1" s="54"/>
      <c r="EC1" s="189" t="s">
        <v>733</v>
      </c>
      <c r="ED1" s="189"/>
      <c r="EE1" s="189"/>
      <c r="EF1" s="54"/>
      <c r="EG1" s="189" t="s">
        <v>733</v>
      </c>
      <c r="EH1" s="189"/>
      <c r="EI1" s="189"/>
      <c r="EJ1" s="54"/>
      <c r="EK1" s="189" t="s">
        <v>733</v>
      </c>
      <c r="EL1" s="189"/>
      <c r="EM1" s="189"/>
      <c r="EN1" s="54"/>
      <c r="EO1" s="189" t="s">
        <v>733</v>
      </c>
      <c r="EP1" s="189"/>
      <c r="EQ1" s="189"/>
      <c r="ER1" s="54"/>
      <c r="ES1" s="189" t="s">
        <v>733</v>
      </c>
      <c r="ET1" s="189"/>
      <c r="EU1" s="189"/>
      <c r="EV1" s="54"/>
      <c r="EW1" s="189" t="s">
        <v>733</v>
      </c>
      <c r="EX1" s="189"/>
      <c r="EY1" s="189"/>
      <c r="EZ1" s="54"/>
      <c r="FA1" s="189" t="s">
        <v>733</v>
      </c>
      <c r="FB1" s="189"/>
      <c r="FC1" s="189"/>
      <c r="FD1" s="54"/>
      <c r="FE1" s="189" t="s">
        <v>733</v>
      </c>
      <c r="FF1" s="189"/>
      <c r="FG1" s="189"/>
      <c r="FH1" s="54"/>
      <c r="FI1" s="189" t="s">
        <v>733</v>
      </c>
      <c r="FJ1" s="189"/>
      <c r="FK1" s="189"/>
      <c r="FL1" s="54"/>
      <c r="FM1" s="189" t="s">
        <v>733</v>
      </c>
      <c r="FN1" s="189"/>
      <c r="FO1" s="189"/>
      <c r="FP1" s="54"/>
      <c r="FQ1" s="189" t="s">
        <v>733</v>
      </c>
      <c r="FR1" s="189"/>
      <c r="FS1" s="189"/>
      <c r="FT1" s="54"/>
      <c r="FU1" s="189" t="s">
        <v>733</v>
      </c>
      <c r="FV1" s="189"/>
      <c r="FW1" s="189"/>
      <c r="FX1" s="54"/>
      <c r="FY1" s="189" t="s">
        <v>733</v>
      </c>
      <c r="FZ1" s="189"/>
      <c r="GA1" s="189"/>
      <c r="GB1" s="54"/>
      <c r="GC1" s="189" t="s">
        <v>733</v>
      </c>
      <c r="GD1" s="189"/>
      <c r="GE1" s="189"/>
      <c r="GF1" s="54"/>
    </row>
    <row r="2" spans="1:188" ht="14.4">
      <c r="A2" s="56" t="s">
        <v>670</v>
      </c>
      <c r="B2" s="56" t="s">
        <v>671</v>
      </c>
      <c r="C2" s="57">
        <v>47.74</v>
      </c>
      <c r="D2" s="54"/>
      <c r="E2" s="56" t="s">
        <v>662</v>
      </c>
      <c r="F2" s="56" t="s">
        <v>663</v>
      </c>
      <c r="G2" s="57">
        <v>47.74</v>
      </c>
      <c r="H2" s="54"/>
      <c r="I2" s="56" t="s">
        <v>666</v>
      </c>
      <c r="J2" s="56" t="s">
        <v>667</v>
      </c>
      <c r="K2" s="57">
        <v>32.94</v>
      </c>
      <c r="L2" s="54"/>
      <c r="M2" s="56" t="s">
        <v>658</v>
      </c>
      <c r="N2" s="56" t="s">
        <v>659</v>
      </c>
      <c r="O2" s="57">
        <v>32.94</v>
      </c>
      <c r="P2" s="54"/>
      <c r="Q2" s="58" t="s">
        <v>1353</v>
      </c>
      <c r="R2" s="58" t="s">
        <v>478</v>
      </c>
      <c r="S2" s="59">
        <v>10.45</v>
      </c>
      <c r="T2" s="54"/>
      <c r="U2" s="58" t="s">
        <v>1354</v>
      </c>
      <c r="V2" s="58" t="s">
        <v>476</v>
      </c>
      <c r="W2" s="59">
        <v>5.1100000000000003</v>
      </c>
      <c r="X2" s="54"/>
      <c r="Y2" s="58" t="s">
        <v>1036</v>
      </c>
      <c r="Z2" s="58" t="s">
        <v>1037</v>
      </c>
      <c r="AA2" s="59"/>
      <c r="AB2" s="54"/>
      <c r="AC2" s="58" t="s">
        <v>1038</v>
      </c>
      <c r="AD2" s="58" t="s">
        <v>1039</v>
      </c>
      <c r="AE2" s="59"/>
      <c r="AF2" s="54"/>
      <c r="AG2" s="58" t="s">
        <v>36</v>
      </c>
      <c r="AH2" s="58" t="s">
        <v>358</v>
      </c>
      <c r="AI2" s="59">
        <v>47.38</v>
      </c>
      <c r="AJ2" s="53" t="s">
        <v>800</v>
      </c>
      <c r="AK2" s="58" t="s">
        <v>33</v>
      </c>
      <c r="AL2" s="58" t="s">
        <v>356</v>
      </c>
      <c r="AM2" s="59">
        <v>49.54</v>
      </c>
      <c r="AN2" s="53" t="s">
        <v>800</v>
      </c>
      <c r="AO2" s="58" t="s">
        <v>31</v>
      </c>
      <c r="AP2" s="58" t="s">
        <v>354</v>
      </c>
      <c r="AQ2" s="59">
        <v>52.75</v>
      </c>
      <c r="AR2" s="53" t="s">
        <v>800</v>
      </c>
      <c r="AS2" s="58" t="s">
        <v>32</v>
      </c>
      <c r="AT2" s="58" t="s">
        <v>353</v>
      </c>
      <c r="AU2" s="59">
        <v>56.8</v>
      </c>
      <c r="AV2" s="53" t="s">
        <v>800</v>
      </c>
      <c r="AW2" s="58" t="s">
        <v>350</v>
      </c>
      <c r="AX2" s="58" t="s">
        <v>351</v>
      </c>
      <c r="AY2" s="59">
        <v>63.72</v>
      </c>
      <c r="AZ2" s="53" t="s">
        <v>800</v>
      </c>
      <c r="BA2" s="58" t="s">
        <v>34</v>
      </c>
      <c r="BB2" s="58" t="s">
        <v>348</v>
      </c>
      <c r="BC2" s="59">
        <v>72.790000000000006</v>
      </c>
      <c r="BD2" s="53" t="s">
        <v>800</v>
      </c>
      <c r="BE2" s="58" t="s">
        <v>38</v>
      </c>
      <c r="BF2" s="58" t="s">
        <v>345</v>
      </c>
      <c r="BG2" s="59">
        <v>30.43</v>
      </c>
      <c r="BH2" s="54"/>
      <c r="BI2" s="58" t="s">
        <v>37</v>
      </c>
      <c r="BJ2" s="58" t="s">
        <v>343</v>
      </c>
      <c r="BK2" s="59">
        <v>31.86</v>
      </c>
      <c r="BL2" s="54"/>
      <c r="BM2" s="1" t="s">
        <v>305</v>
      </c>
      <c r="BN2" s="1" t="s">
        <v>306</v>
      </c>
      <c r="BO2" s="2">
        <v>95.8</v>
      </c>
      <c r="BP2" s="54"/>
      <c r="BQ2" s="56" t="s">
        <v>17</v>
      </c>
      <c r="BR2" s="56" t="s">
        <v>642</v>
      </c>
      <c r="BS2" s="57">
        <v>37.36</v>
      </c>
      <c r="BT2" s="54"/>
      <c r="BU2" s="1" t="s">
        <v>638</v>
      </c>
      <c r="BV2" s="1" t="s">
        <v>639</v>
      </c>
      <c r="BW2" s="2">
        <v>47.26</v>
      </c>
      <c r="BX2" s="54"/>
      <c r="BY2" s="56" t="s">
        <v>16</v>
      </c>
      <c r="BZ2" s="56" t="s">
        <v>645</v>
      </c>
      <c r="CA2" s="57">
        <v>37.36</v>
      </c>
      <c r="CB2" s="54"/>
      <c r="CC2" s="58" t="s">
        <v>472</v>
      </c>
      <c r="CD2" s="58" t="s">
        <v>473</v>
      </c>
      <c r="CE2" s="59">
        <v>7.18</v>
      </c>
      <c r="CF2" s="54"/>
      <c r="CG2" s="1" t="s">
        <v>474</v>
      </c>
      <c r="CH2" s="1" t="s">
        <v>475</v>
      </c>
      <c r="CI2" s="59">
        <v>7.18</v>
      </c>
      <c r="CJ2" s="54"/>
      <c r="CK2" s="56" t="s">
        <v>14</v>
      </c>
      <c r="CL2" s="56" t="s">
        <v>635</v>
      </c>
      <c r="CM2" s="57">
        <v>34.5</v>
      </c>
      <c r="CN2" s="54"/>
      <c r="CO2" s="58" t="s">
        <v>506</v>
      </c>
      <c r="CP2" s="58" t="s">
        <v>507</v>
      </c>
      <c r="CQ2" s="59">
        <v>148.41</v>
      </c>
      <c r="CR2" s="54"/>
      <c r="CS2" s="58" t="s">
        <v>413</v>
      </c>
      <c r="CT2" s="58" t="s">
        <v>414</v>
      </c>
      <c r="CU2" s="59">
        <v>102.87</v>
      </c>
      <c r="CV2" s="54"/>
      <c r="CW2" s="56" t="s">
        <v>43</v>
      </c>
      <c r="CX2" s="56" t="s">
        <v>631</v>
      </c>
      <c r="CY2" s="57">
        <v>43.33</v>
      </c>
      <c r="CZ2" s="54"/>
      <c r="DA2" s="56" t="s">
        <v>44</v>
      </c>
      <c r="DB2" s="56" t="s">
        <v>627</v>
      </c>
      <c r="DC2" s="57">
        <v>70.25</v>
      </c>
      <c r="DD2" s="54"/>
      <c r="DE2" s="56" t="s">
        <v>118</v>
      </c>
      <c r="DF2" s="56" t="s">
        <v>623</v>
      </c>
      <c r="DG2" s="57">
        <v>106.33</v>
      </c>
      <c r="DH2" s="54"/>
      <c r="DI2" s="56" t="s">
        <v>618</v>
      </c>
      <c r="DJ2" s="56" t="s">
        <v>619</v>
      </c>
      <c r="DK2" s="57">
        <v>42.95</v>
      </c>
      <c r="DL2" s="54"/>
      <c r="DM2" s="1" t="s">
        <v>613</v>
      </c>
      <c r="DN2" s="1" t="s">
        <v>614</v>
      </c>
      <c r="DO2" s="2">
        <v>43.09</v>
      </c>
      <c r="DP2" s="54"/>
      <c r="DQ2" s="1" t="s">
        <v>282</v>
      </c>
      <c r="DR2" s="1" t="s">
        <v>283</v>
      </c>
      <c r="DS2" s="2">
        <v>38.19</v>
      </c>
      <c r="DT2" s="54"/>
      <c r="DU2" s="1" t="s">
        <v>222</v>
      </c>
      <c r="DV2" s="1" t="s">
        <v>223</v>
      </c>
      <c r="DW2" s="90">
        <v>400.09500000000003</v>
      </c>
      <c r="DX2" s="54"/>
      <c r="DY2" s="134" t="s">
        <v>1032</v>
      </c>
      <c r="DZ2" s="121" t="s">
        <v>1033</v>
      </c>
      <c r="EA2" s="144">
        <v>26.8</v>
      </c>
      <c r="EB2" s="54"/>
      <c r="EC2" s="58" t="s">
        <v>544</v>
      </c>
      <c r="ED2" s="58" t="s">
        <v>545</v>
      </c>
      <c r="EE2" s="59">
        <v>75.069999999999993</v>
      </c>
      <c r="EF2" s="54"/>
      <c r="EG2" s="58" t="s">
        <v>540</v>
      </c>
      <c r="EH2" s="58" t="s">
        <v>541</v>
      </c>
      <c r="EI2" s="59">
        <v>51.55</v>
      </c>
      <c r="EJ2" s="54"/>
      <c r="EK2" s="58" t="s">
        <v>300</v>
      </c>
      <c r="EL2" s="58" t="s">
        <v>301</v>
      </c>
      <c r="EM2" s="59">
        <v>34.5</v>
      </c>
      <c r="EN2" s="53" t="s">
        <v>800</v>
      </c>
      <c r="EO2" s="58" t="s">
        <v>465</v>
      </c>
      <c r="EP2" s="58" t="s">
        <v>466</v>
      </c>
      <c r="EQ2" s="59">
        <v>7.18</v>
      </c>
      <c r="ER2" s="54"/>
      <c r="ES2" s="58" t="s">
        <v>292</v>
      </c>
      <c r="ET2" s="58" t="s">
        <v>293</v>
      </c>
      <c r="EU2" s="59">
        <v>44.99</v>
      </c>
      <c r="EV2" s="53" t="s">
        <v>800</v>
      </c>
      <c r="EW2" s="58" t="s">
        <v>463</v>
      </c>
      <c r="EX2" s="58" t="s">
        <v>464</v>
      </c>
      <c r="EY2" s="59">
        <v>23.11</v>
      </c>
      <c r="EZ2" s="54"/>
      <c r="FA2" s="6" t="s">
        <v>72</v>
      </c>
      <c r="FB2" s="58" t="s">
        <v>441</v>
      </c>
      <c r="FC2" s="59">
        <v>4.66</v>
      </c>
      <c r="FD2" s="54"/>
      <c r="FE2" s="6" t="s">
        <v>73</v>
      </c>
      <c r="FF2" s="6" t="s">
        <v>440</v>
      </c>
      <c r="FG2" s="89">
        <v>6.2</v>
      </c>
      <c r="FH2" s="54"/>
      <c r="FI2" s="6" t="s">
        <v>74</v>
      </c>
      <c r="FJ2" s="6" t="s">
        <v>439</v>
      </c>
      <c r="FK2" s="89">
        <v>4.74</v>
      </c>
      <c r="FL2" s="54"/>
      <c r="FM2" s="1" t="s">
        <v>394</v>
      </c>
      <c r="FN2" s="1" t="s">
        <v>395</v>
      </c>
      <c r="FO2" s="2">
        <v>117.31</v>
      </c>
      <c r="FP2" s="54"/>
      <c r="FQ2" s="121" t="s">
        <v>1058</v>
      </c>
      <c r="FR2" s="1" t="s">
        <v>1055</v>
      </c>
      <c r="FS2" s="2">
        <v>150</v>
      </c>
      <c r="FT2" s="54"/>
      <c r="FU2" s="58" t="s">
        <v>1010</v>
      </c>
      <c r="FV2" s="58" t="s">
        <v>493</v>
      </c>
      <c r="FW2" s="59"/>
      <c r="FX2" s="54"/>
      <c r="FY2" s="58" t="s">
        <v>1011</v>
      </c>
      <c r="FZ2" s="58" t="s">
        <v>429</v>
      </c>
      <c r="GB2" s="54"/>
      <c r="GC2" s="58" t="s">
        <v>885</v>
      </c>
      <c r="GD2" s="58" t="s">
        <v>464</v>
      </c>
      <c r="GE2" s="59">
        <v>23.11</v>
      </c>
      <c r="GF2" s="54"/>
    </row>
    <row r="3" spans="1:188" ht="14.4">
      <c r="A3" s="189" t="s">
        <v>735</v>
      </c>
      <c r="B3" s="189"/>
      <c r="D3" s="53" t="s">
        <v>827</v>
      </c>
      <c r="E3" s="56" t="s">
        <v>15</v>
      </c>
      <c r="F3" s="56" t="s">
        <v>654</v>
      </c>
      <c r="G3" s="57">
        <v>51.79</v>
      </c>
      <c r="H3" s="54"/>
      <c r="I3" s="189" t="s">
        <v>735</v>
      </c>
      <c r="J3" s="189"/>
      <c r="L3" s="54"/>
      <c r="M3" s="56" t="s">
        <v>649</v>
      </c>
      <c r="N3" s="56" t="s">
        <v>650</v>
      </c>
      <c r="O3" s="57">
        <v>35.57</v>
      </c>
      <c r="P3" s="54"/>
      <c r="Q3" s="189" t="s">
        <v>736</v>
      </c>
      <c r="R3" s="189"/>
      <c r="T3" s="54"/>
      <c r="U3" s="189" t="s">
        <v>736</v>
      </c>
      <c r="V3" s="189"/>
      <c r="X3" s="54"/>
      <c r="Y3" s="183" t="s">
        <v>1362</v>
      </c>
      <c r="Z3" s="183"/>
      <c r="AB3" s="54"/>
      <c r="AC3" s="183" t="s">
        <v>1362</v>
      </c>
      <c r="AD3" s="183"/>
      <c r="AF3" s="54"/>
      <c r="AG3" s="189" t="s">
        <v>735</v>
      </c>
      <c r="AH3" s="189"/>
      <c r="AJ3" s="54"/>
      <c r="AK3" s="189" t="s">
        <v>735</v>
      </c>
      <c r="AL3" s="189"/>
      <c r="AN3" s="54"/>
      <c r="AO3" s="189" t="s">
        <v>735</v>
      </c>
      <c r="AP3" s="189"/>
      <c r="AR3" s="54"/>
      <c r="AS3" s="189" t="s">
        <v>735</v>
      </c>
      <c r="AT3" s="189"/>
      <c r="AV3" s="54"/>
      <c r="AW3" s="189" t="s">
        <v>735</v>
      </c>
      <c r="AX3" s="189"/>
      <c r="AZ3" s="54"/>
      <c r="BA3" s="189" t="s">
        <v>735</v>
      </c>
      <c r="BB3" s="189"/>
      <c r="BD3" s="54"/>
      <c r="BE3" s="189" t="s">
        <v>735</v>
      </c>
      <c r="BF3" s="189"/>
      <c r="BH3" s="54"/>
      <c r="BI3" s="189" t="s">
        <v>735</v>
      </c>
      <c r="BJ3" s="189"/>
      <c r="BL3" s="54"/>
      <c r="BM3" s="189" t="s">
        <v>735</v>
      </c>
      <c r="BN3" s="189"/>
      <c r="BP3" s="54"/>
      <c r="BQ3" s="189" t="s">
        <v>734</v>
      </c>
      <c r="BR3" s="189"/>
      <c r="BT3" s="54"/>
      <c r="BU3" s="1" t="s">
        <v>553</v>
      </c>
      <c r="BV3" s="1" t="s">
        <v>554</v>
      </c>
      <c r="BW3" s="2">
        <v>41.05</v>
      </c>
      <c r="BX3" s="54"/>
      <c r="BY3" s="189" t="s">
        <v>735</v>
      </c>
      <c r="BZ3" s="189"/>
      <c r="CB3" s="54"/>
      <c r="CC3" s="191" t="s">
        <v>734</v>
      </c>
      <c r="CD3" s="191"/>
      <c r="CF3" s="54"/>
      <c r="CG3" s="189" t="s">
        <v>736</v>
      </c>
      <c r="CH3" s="189"/>
      <c r="CJ3" s="54"/>
      <c r="CK3" s="1" t="s">
        <v>574</v>
      </c>
      <c r="CL3" s="1" t="s">
        <v>575</v>
      </c>
      <c r="CM3" s="2">
        <v>53.82</v>
      </c>
      <c r="CN3" s="54"/>
      <c r="CO3" s="58" t="s">
        <v>504</v>
      </c>
      <c r="CP3" s="58" t="s">
        <v>505</v>
      </c>
      <c r="CQ3" s="59">
        <v>223.38</v>
      </c>
      <c r="CR3" s="53" t="s">
        <v>828</v>
      </c>
      <c r="CS3" s="58" t="s">
        <v>410</v>
      </c>
      <c r="CT3" s="58" t="s">
        <v>411</v>
      </c>
      <c r="CU3" s="59">
        <v>121.72</v>
      </c>
      <c r="CV3" s="54"/>
      <c r="CW3" s="189" t="s">
        <v>734</v>
      </c>
      <c r="CX3" s="189"/>
      <c r="CZ3" s="54"/>
      <c r="DA3" s="1" t="s">
        <v>537</v>
      </c>
      <c r="DB3" s="1" t="s">
        <v>538</v>
      </c>
      <c r="DC3" s="2">
        <v>47.74</v>
      </c>
      <c r="DD3" s="54"/>
      <c r="DE3" s="189" t="s">
        <v>734</v>
      </c>
      <c r="DF3" s="189"/>
      <c r="DG3" s="57"/>
      <c r="DH3" s="54"/>
      <c r="DI3" s="189" t="s">
        <v>735</v>
      </c>
      <c r="DJ3" s="189"/>
      <c r="DL3" s="54"/>
      <c r="DM3" s="1" t="s">
        <v>608</v>
      </c>
      <c r="DN3" s="1" t="s">
        <v>609</v>
      </c>
      <c r="DO3" s="2">
        <v>43.09</v>
      </c>
      <c r="DP3" s="54"/>
      <c r="DQ3" s="1" t="s">
        <v>280</v>
      </c>
      <c r="DR3" s="1" t="s">
        <v>281</v>
      </c>
      <c r="DS3" s="2">
        <v>45.59</v>
      </c>
      <c r="DT3" s="54"/>
      <c r="DU3" s="1" t="s">
        <v>219</v>
      </c>
      <c r="DV3" s="1" t="s">
        <v>220</v>
      </c>
      <c r="DW3" s="2">
        <v>166</v>
      </c>
      <c r="DX3" s="54"/>
      <c r="DY3" s="134" t="s">
        <v>1034</v>
      </c>
      <c r="DZ3" s="121" t="s">
        <v>1035</v>
      </c>
      <c r="EA3" s="144">
        <v>24.7</v>
      </c>
      <c r="EB3" s="54"/>
      <c r="EC3" s="189" t="s">
        <v>735</v>
      </c>
      <c r="ED3" s="189"/>
      <c r="EF3" s="54"/>
      <c r="EG3" s="189" t="s">
        <v>735</v>
      </c>
      <c r="EH3" s="189"/>
      <c r="EJ3" s="54"/>
      <c r="EK3" s="58" t="s">
        <v>298</v>
      </c>
      <c r="EL3" s="58" t="s">
        <v>299</v>
      </c>
      <c r="EM3" s="59">
        <v>34.85</v>
      </c>
      <c r="EN3" s="54"/>
      <c r="EO3" s="189" t="s">
        <v>736</v>
      </c>
      <c r="EP3" s="189"/>
      <c r="ER3" s="54"/>
      <c r="ES3" s="58" t="s">
        <v>290</v>
      </c>
      <c r="ET3" s="58" t="s">
        <v>291</v>
      </c>
      <c r="EU3" s="59">
        <v>47.14</v>
      </c>
      <c r="EV3" s="54"/>
      <c r="EW3" s="1" t="s">
        <v>47</v>
      </c>
      <c r="EX3" s="1" t="s">
        <v>471</v>
      </c>
      <c r="EY3" s="2">
        <v>4.9800000000000004</v>
      </c>
      <c r="EZ3" s="54"/>
      <c r="FA3" s="189" t="s">
        <v>734</v>
      </c>
      <c r="FB3" s="189"/>
      <c r="FD3" s="54"/>
      <c r="FE3" s="189" t="s">
        <v>734</v>
      </c>
      <c r="FF3" s="189"/>
      <c r="FH3" s="54"/>
      <c r="FI3" s="6" t="s">
        <v>75</v>
      </c>
      <c r="FJ3" s="6" t="s">
        <v>438</v>
      </c>
      <c r="FK3" s="89">
        <v>6.56</v>
      </c>
      <c r="FL3" s="54"/>
      <c r="FM3" s="1" t="s">
        <v>391</v>
      </c>
      <c r="FN3" s="1" t="s">
        <v>392</v>
      </c>
      <c r="FO3" s="2">
        <v>132.1</v>
      </c>
      <c r="FP3" s="54"/>
      <c r="FT3" s="54"/>
      <c r="FU3" s="189" t="s">
        <v>735</v>
      </c>
      <c r="FV3" s="189"/>
      <c r="FX3" s="54"/>
      <c r="FY3" s="189" t="s">
        <v>735</v>
      </c>
      <c r="FZ3" s="189"/>
      <c r="GB3" s="54"/>
      <c r="GC3" s="189" t="s">
        <v>736</v>
      </c>
      <c r="GD3" s="189"/>
      <c r="GF3" s="54"/>
    </row>
    <row r="4" spans="1:188" ht="14.4">
      <c r="A4" s="55" t="s">
        <v>715</v>
      </c>
      <c r="B4" s="55">
        <v>2.11</v>
      </c>
      <c r="D4" s="54"/>
      <c r="E4" s="189" t="s">
        <v>735</v>
      </c>
      <c r="F4" s="189"/>
      <c r="H4" s="53" t="s">
        <v>827</v>
      </c>
      <c r="I4" s="55" t="s">
        <v>708</v>
      </c>
      <c r="J4" s="55">
        <v>-0.55000000000000004</v>
      </c>
      <c r="L4" s="54"/>
      <c r="M4" s="189" t="s">
        <v>735</v>
      </c>
      <c r="N4" s="189"/>
      <c r="P4" s="54"/>
      <c r="Q4" s="55" t="s">
        <v>741</v>
      </c>
      <c r="R4" s="67">
        <v>0</v>
      </c>
      <c r="T4" s="54"/>
      <c r="U4" s="55" t="s">
        <v>741</v>
      </c>
      <c r="V4" s="67">
        <v>0</v>
      </c>
      <c r="X4" s="54"/>
      <c r="Y4" s="129" t="s">
        <v>1047</v>
      </c>
      <c r="Z4" s="61"/>
      <c r="AB4" s="54"/>
      <c r="AC4" s="129" t="s">
        <v>1040</v>
      </c>
      <c r="AD4" s="61"/>
      <c r="AF4" s="54"/>
      <c r="AG4" s="55" t="s">
        <v>708</v>
      </c>
      <c r="AH4" s="55">
        <v>-0.55000000000000004</v>
      </c>
      <c r="AJ4" s="54"/>
      <c r="AK4" s="55" t="s">
        <v>708</v>
      </c>
      <c r="AL4" s="55">
        <v>-0.55000000000000004</v>
      </c>
      <c r="AN4" s="54"/>
      <c r="AO4" s="55" t="s">
        <v>708</v>
      </c>
      <c r="AP4" s="55">
        <v>-0.55000000000000004</v>
      </c>
      <c r="AR4" s="54"/>
      <c r="AS4" s="55" t="s">
        <v>708</v>
      </c>
      <c r="AT4" s="55">
        <v>-0.55000000000000004</v>
      </c>
      <c r="AV4" s="54"/>
      <c r="AW4" s="55" t="s">
        <v>708</v>
      </c>
      <c r="AX4" s="55">
        <v>-0.55000000000000004</v>
      </c>
      <c r="AZ4" s="54"/>
      <c r="BA4" s="55" t="s">
        <v>708</v>
      </c>
      <c r="BB4" s="55">
        <v>-0.55000000000000004</v>
      </c>
      <c r="BD4" s="54"/>
      <c r="BE4" s="55" t="s">
        <v>708</v>
      </c>
      <c r="BF4" s="55">
        <v>-0.55000000000000004</v>
      </c>
      <c r="BH4" s="54"/>
      <c r="BI4" s="55" t="s">
        <v>708</v>
      </c>
      <c r="BJ4" s="55">
        <v>-0.55000000000000004</v>
      </c>
      <c r="BL4" s="54"/>
      <c r="BM4" s="55" t="s">
        <v>708</v>
      </c>
      <c r="BN4" s="55">
        <v>-0.55000000000000004</v>
      </c>
      <c r="BP4" s="54"/>
      <c r="BQ4" s="56" t="s">
        <v>127</v>
      </c>
      <c r="BR4" s="57">
        <v>7.52</v>
      </c>
      <c r="BT4" s="54"/>
      <c r="BU4" s="189" t="s">
        <v>735</v>
      </c>
      <c r="BV4" s="189"/>
      <c r="BX4" s="54"/>
      <c r="BY4" s="55" t="s">
        <v>715</v>
      </c>
      <c r="BZ4" s="55">
        <v>2.11</v>
      </c>
      <c r="CB4" s="54"/>
      <c r="CC4" s="65" t="s">
        <v>63</v>
      </c>
      <c r="CD4" s="66">
        <v>0</v>
      </c>
      <c r="CF4" s="54"/>
      <c r="CG4" s="58" t="s">
        <v>758</v>
      </c>
      <c r="CH4" s="56">
        <v>0</v>
      </c>
      <c r="CJ4" s="54"/>
      <c r="CK4" s="1" t="s">
        <v>570</v>
      </c>
      <c r="CL4" s="1" t="s">
        <v>571</v>
      </c>
      <c r="CM4" s="2">
        <v>53.82</v>
      </c>
      <c r="CN4" s="54"/>
      <c r="CO4" s="6" t="s">
        <v>890</v>
      </c>
      <c r="CP4" s="55" t="s">
        <v>889</v>
      </c>
      <c r="CQ4" s="89">
        <v>118.75</v>
      </c>
      <c r="CR4" s="54"/>
      <c r="CS4" s="58" t="s">
        <v>407</v>
      </c>
      <c r="CT4" s="58" t="s">
        <v>408</v>
      </c>
      <c r="CU4" s="59">
        <v>135.21</v>
      </c>
      <c r="CV4" s="54"/>
      <c r="CW4" s="58" t="s">
        <v>886</v>
      </c>
      <c r="CX4" s="58">
        <v>43.33</v>
      </c>
      <c r="CZ4" s="54"/>
      <c r="DA4" s="189" t="s">
        <v>735</v>
      </c>
      <c r="DB4" s="189"/>
      <c r="DD4" s="54"/>
      <c r="DE4" s="1" t="s">
        <v>884</v>
      </c>
      <c r="DF4" s="3">
        <v>6.437911999999999</v>
      </c>
      <c r="DG4" s="57"/>
      <c r="DH4" s="54"/>
      <c r="DI4" s="55" t="s">
        <v>708</v>
      </c>
      <c r="DJ4" s="55">
        <v>-0.55000000000000004</v>
      </c>
      <c r="DL4" s="54"/>
      <c r="DM4" s="1" t="s">
        <v>601</v>
      </c>
      <c r="DN4" s="1" t="s">
        <v>602</v>
      </c>
      <c r="DO4" s="2">
        <v>41.05</v>
      </c>
      <c r="DP4" s="54"/>
      <c r="DQ4" s="1" t="s">
        <v>277</v>
      </c>
      <c r="DR4" s="1" t="s">
        <v>278</v>
      </c>
      <c r="DS4" s="2">
        <v>47.61</v>
      </c>
      <c r="DT4" s="54"/>
      <c r="DU4" s="1" t="s">
        <v>332</v>
      </c>
      <c r="DV4" s="1" t="s">
        <v>333</v>
      </c>
      <c r="DW4" s="2">
        <v>44.27</v>
      </c>
      <c r="DX4" s="54"/>
      <c r="DY4" s="189" t="s">
        <v>735</v>
      </c>
      <c r="DZ4" s="189"/>
      <c r="EB4" s="54"/>
      <c r="EC4" s="55" t="s">
        <v>708</v>
      </c>
      <c r="ED4" s="55">
        <v>-0.55000000000000004</v>
      </c>
      <c r="EF4" s="54"/>
      <c r="EG4" s="55" t="s">
        <v>708</v>
      </c>
      <c r="EH4" s="55">
        <v>-0.55000000000000004</v>
      </c>
      <c r="EJ4" s="54"/>
      <c r="EK4" s="58" t="s">
        <v>296</v>
      </c>
      <c r="EL4" s="58" t="s">
        <v>297</v>
      </c>
      <c r="EM4" s="59">
        <v>38.659999999999997</v>
      </c>
      <c r="EN4" s="54"/>
      <c r="EO4" s="58" t="s">
        <v>741</v>
      </c>
      <c r="EP4" s="61">
        <v>0</v>
      </c>
      <c r="ER4" s="54"/>
      <c r="ES4" s="58" t="s">
        <v>288</v>
      </c>
      <c r="ET4" s="58" t="s">
        <v>289</v>
      </c>
      <c r="EU4" s="59">
        <v>50.61</v>
      </c>
      <c r="EV4" s="54"/>
      <c r="EW4" s="1" t="s">
        <v>48</v>
      </c>
      <c r="EX4" s="1" t="s">
        <v>469</v>
      </c>
      <c r="EY4" s="2">
        <v>11.91</v>
      </c>
      <c r="EZ4" s="54"/>
      <c r="FA4" s="1" t="s">
        <v>88</v>
      </c>
      <c r="FB4" s="58"/>
      <c r="FD4" s="54"/>
      <c r="FE4" s="1" t="s">
        <v>888</v>
      </c>
      <c r="FF4" s="58"/>
      <c r="FH4" s="54"/>
      <c r="FI4" s="6" t="s">
        <v>436</v>
      </c>
      <c r="FJ4" s="6" t="s">
        <v>437</v>
      </c>
      <c r="FK4" s="89">
        <v>6.2</v>
      </c>
      <c r="FL4" s="54"/>
      <c r="FM4" s="1" t="s">
        <v>389</v>
      </c>
      <c r="FN4" s="1" t="s">
        <v>390</v>
      </c>
      <c r="FO4" s="2">
        <v>139.62</v>
      </c>
      <c r="FP4" s="54"/>
      <c r="FT4" s="54"/>
      <c r="FU4" s="55" t="s">
        <v>695</v>
      </c>
      <c r="FX4" s="54"/>
      <c r="FY4" s="55" t="s">
        <v>708</v>
      </c>
      <c r="GB4" s="54"/>
      <c r="GC4" s="58" t="s">
        <v>741</v>
      </c>
      <c r="GD4" s="61">
        <v>0</v>
      </c>
      <c r="GF4" s="54"/>
    </row>
    <row r="5" spans="1:188" ht="14.4">
      <c r="A5" s="55" t="s">
        <v>702</v>
      </c>
      <c r="B5" s="55">
        <v>-1.07</v>
      </c>
      <c r="D5" s="54"/>
      <c r="E5" s="55" t="s">
        <v>708</v>
      </c>
      <c r="F5" s="55">
        <v>-0.55000000000000004</v>
      </c>
      <c r="H5" s="54"/>
      <c r="I5" s="55" t="s">
        <v>695</v>
      </c>
      <c r="J5" s="55">
        <v>-2.14</v>
      </c>
      <c r="L5" s="54"/>
      <c r="M5" s="55" t="s">
        <v>708</v>
      </c>
      <c r="N5" s="55">
        <v>-0.55000000000000004</v>
      </c>
      <c r="P5" s="54"/>
      <c r="Q5" s="55" t="s">
        <v>742</v>
      </c>
      <c r="R5" s="67">
        <v>0</v>
      </c>
      <c r="T5" s="54"/>
      <c r="U5" s="55" t="s">
        <v>742</v>
      </c>
      <c r="V5" s="67">
        <v>0</v>
      </c>
      <c r="X5" s="54"/>
      <c r="Y5" s="129" t="s">
        <v>1048</v>
      </c>
      <c r="Z5" s="61"/>
      <c r="AB5" s="54"/>
      <c r="AC5" s="129" t="s">
        <v>1041</v>
      </c>
      <c r="AD5" s="61"/>
      <c r="AF5" s="54"/>
      <c r="AG5" s="55" t="s">
        <v>695</v>
      </c>
      <c r="AH5" s="55">
        <v>-2.14</v>
      </c>
      <c r="AJ5" s="54"/>
      <c r="AK5" s="55" t="s">
        <v>695</v>
      </c>
      <c r="AL5" s="55">
        <v>-2.14</v>
      </c>
      <c r="AN5" s="54"/>
      <c r="AO5" s="55" t="s">
        <v>695</v>
      </c>
      <c r="AP5" s="55">
        <v>-2.14</v>
      </c>
      <c r="AR5" s="54"/>
      <c r="AS5" s="55" t="s">
        <v>695</v>
      </c>
      <c r="AT5" s="55">
        <v>-2.14</v>
      </c>
      <c r="AV5" s="54"/>
      <c r="AW5" s="55" t="s">
        <v>695</v>
      </c>
      <c r="AX5" s="55">
        <v>-2.14</v>
      </c>
      <c r="AZ5" s="54"/>
      <c r="BA5" s="55" t="s">
        <v>695</v>
      </c>
      <c r="BB5" s="55">
        <v>-2.14</v>
      </c>
      <c r="BD5" s="54"/>
      <c r="BE5" s="55" t="s">
        <v>695</v>
      </c>
      <c r="BF5" s="55">
        <v>-2.14</v>
      </c>
      <c r="BH5" s="54"/>
      <c r="BI5" s="55" t="s">
        <v>695</v>
      </c>
      <c r="BJ5" s="55">
        <v>-2.14</v>
      </c>
      <c r="BL5" s="54"/>
      <c r="BM5" s="55" t="s">
        <v>695</v>
      </c>
      <c r="BN5" s="55">
        <v>-2.14</v>
      </c>
      <c r="BP5" s="54"/>
      <c r="BQ5" s="189" t="s">
        <v>735</v>
      </c>
      <c r="BR5" s="189"/>
      <c r="BT5" s="54"/>
      <c r="BU5" s="55" t="s">
        <v>708</v>
      </c>
      <c r="BV5" s="55">
        <v>-0.55000000000000004</v>
      </c>
      <c r="BX5" s="54"/>
      <c r="BY5" s="55" t="s">
        <v>702</v>
      </c>
      <c r="BZ5" s="55">
        <v>-1.07</v>
      </c>
      <c r="CB5" s="54"/>
      <c r="CC5" s="65" t="s">
        <v>64</v>
      </c>
      <c r="CD5" s="66">
        <v>0</v>
      </c>
      <c r="CF5" s="54"/>
      <c r="CG5" s="58" t="s">
        <v>759</v>
      </c>
      <c r="CH5" s="56">
        <v>0</v>
      </c>
      <c r="CJ5" s="54"/>
      <c r="CK5" s="189" t="s">
        <v>735</v>
      </c>
      <c r="CL5" s="189"/>
      <c r="CN5" s="54"/>
      <c r="CO5" s="1" t="s">
        <v>501</v>
      </c>
      <c r="CP5" s="1" t="s">
        <v>502</v>
      </c>
      <c r="CQ5" s="2">
        <v>179.17</v>
      </c>
      <c r="CR5" s="54"/>
      <c r="CS5" s="58" t="s">
        <v>404</v>
      </c>
      <c r="CT5" s="58" t="s">
        <v>405</v>
      </c>
      <c r="CU5" s="59">
        <v>76.540000000000006</v>
      </c>
      <c r="CV5" s="54"/>
      <c r="CW5" s="189" t="s">
        <v>735</v>
      </c>
      <c r="CX5" s="189"/>
      <c r="CZ5" s="54"/>
      <c r="DA5" s="55" t="s">
        <v>708</v>
      </c>
      <c r="DB5" s="55">
        <v>-0.55000000000000004</v>
      </c>
      <c r="DD5" s="54"/>
      <c r="DE5" s="189" t="s">
        <v>735</v>
      </c>
      <c r="DF5" s="189"/>
      <c r="DH5" s="54"/>
      <c r="DI5" s="55" t="s">
        <v>695</v>
      </c>
      <c r="DJ5" s="55">
        <v>-2.14</v>
      </c>
      <c r="DL5" s="54"/>
      <c r="DM5" s="1" t="s">
        <v>598</v>
      </c>
      <c r="DN5" s="1" t="s">
        <v>599</v>
      </c>
      <c r="DO5" s="2">
        <v>37.36</v>
      </c>
      <c r="DP5" s="54"/>
      <c r="DQ5" s="1" t="s">
        <v>275</v>
      </c>
      <c r="DR5" s="1" t="s">
        <v>276</v>
      </c>
      <c r="DS5" s="2">
        <v>36.64</v>
      </c>
      <c r="DT5" s="54"/>
      <c r="DU5" s="1" t="s">
        <v>330</v>
      </c>
      <c r="DV5" s="1" t="s">
        <v>331</v>
      </c>
      <c r="DW5" s="2">
        <v>55.49</v>
      </c>
      <c r="DX5" s="54"/>
      <c r="DY5" s="55" t="s">
        <v>708</v>
      </c>
      <c r="DZ5" s="55">
        <v>-0.55000000000000004</v>
      </c>
      <c r="EB5" s="54"/>
      <c r="EC5" s="55" t="s">
        <v>695</v>
      </c>
      <c r="ED5" s="55">
        <v>-2.14</v>
      </c>
      <c r="EF5" s="54"/>
      <c r="EG5" s="55" t="s">
        <v>695</v>
      </c>
      <c r="EH5" s="55">
        <v>-2.14</v>
      </c>
      <c r="EJ5" s="54"/>
      <c r="EK5" s="1" t="s">
        <v>294</v>
      </c>
      <c r="EL5" s="1" t="s">
        <v>295</v>
      </c>
      <c r="EM5" s="2">
        <v>58.23</v>
      </c>
      <c r="EN5" s="54"/>
      <c r="EO5" s="58" t="s">
        <v>742</v>
      </c>
      <c r="EP5" s="61">
        <v>0</v>
      </c>
      <c r="ER5" s="54"/>
      <c r="ES5" s="189" t="s">
        <v>735</v>
      </c>
      <c r="ET5" s="189"/>
      <c r="EV5" s="54"/>
      <c r="EW5" s="1" t="s">
        <v>461</v>
      </c>
      <c r="EX5" s="1" t="s">
        <v>462</v>
      </c>
      <c r="EY5" s="2">
        <v>19.829999999999998</v>
      </c>
      <c r="EZ5" s="54"/>
      <c r="FA5" s="1" t="s">
        <v>181</v>
      </c>
      <c r="FB5" s="58"/>
      <c r="FD5" s="54"/>
      <c r="FE5" s="1" t="s">
        <v>162</v>
      </c>
      <c r="FF5" s="58"/>
      <c r="FH5" s="54"/>
      <c r="FI5" s="6" t="s">
        <v>892</v>
      </c>
      <c r="FJ5" s="6" t="s">
        <v>435</v>
      </c>
      <c r="FK5" s="89">
        <v>6.45</v>
      </c>
      <c r="FL5" s="54"/>
      <c r="FM5" s="1" t="s">
        <v>386</v>
      </c>
      <c r="FN5" s="1" t="s">
        <v>387</v>
      </c>
      <c r="FO5" s="2">
        <v>151.9</v>
      </c>
      <c r="FP5" s="54"/>
      <c r="FT5" s="54"/>
      <c r="FU5" s="55" t="s">
        <v>702</v>
      </c>
      <c r="FX5" s="54"/>
      <c r="FY5" s="55" t="s">
        <v>715</v>
      </c>
      <c r="GB5" s="54"/>
      <c r="GC5" s="58" t="s">
        <v>742</v>
      </c>
      <c r="GD5" s="61">
        <v>0</v>
      </c>
      <c r="GF5" s="54"/>
    </row>
    <row r="6" spans="1:188" ht="14.4">
      <c r="A6" s="55" t="s">
        <v>716</v>
      </c>
      <c r="B6" s="55">
        <v>4.7699999999999996</v>
      </c>
      <c r="D6" s="54"/>
      <c r="E6" s="55" t="s">
        <v>695</v>
      </c>
      <c r="F6" s="55">
        <v>-2.14</v>
      </c>
      <c r="H6" s="54"/>
      <c r="I6" s="55" t="s">
        <v>715</v>
      </c>
      <c r="J6" s="55">
        <v>2.11</v>
      </c>
      <c r="L6" s="54"/>
      <c r="M6" s="55" t="s">
        <v>695</v>
      </c>
      <c r="N6" s="55">
        <v>-2.14</v>
      </c>
      <c r="P6" s="54"/>
      <c r="Q6" s="55" t="s">
        <v>743</v>
      </c>
      <c r="R6" s="67">
        <v>6.4271999999999991</v>
      </c>
      <c r="T6" s="54"/>
      <c r="U6" s="55" t="s">
        <v>743</v>
      </c>
      <c r="V6" s="67">
        <v>6.4271999999999991</v>
      </c>
      <c r="X6" s="54"/>
      <c r="Y6" s="129" t="s">
        <v>1049</v>
      </c>
      <c r="Z6" s="61"/>
      <c r="AB6" s="54"/>
      <c r="AC6" s="129" t="s">
        <v>1042</v>
      </c>
      <c r="AD6" s="61"/>
      <c r="AF6" s="54"/>
      <c r="AG6" s="55" t="s">
        <v>715</v>
      </c>
      <c r="AH6" s="55">
        <v>2.11</v>
      </c>
      <c r="AJ6" s="54"/>
      <c r="AK6" s="55" t="s">
        <v>715</v>
      </c>
      <c r="AL6" s="55">
        <v>2.11</v>
      </c>
      <c r="AN6" s="54"/>
      <c r="AO6" s="55" t="s">
        <v>715</v>
      </c>
      <c r="AP6" s="55">
        <v>2.11</v>
      </c>
      <c r="AR6" s="54"/>
      <c r="AS6" s="55" t="s">
        <v>715</v>
      </c>
      <c r="AT6" s="55">
        <v>2.11</v>
      </c>
      <c r="AV6" s="54"/>
      <c r="AW6" s="55" t="s">
        <v>715</v>
      </c>
      <c r="AX6" s="55">
        <v>2.11</v>
      </c>
      <c r="AZ6" s="54"/>
      <c r="BA6" s="55" t="s">
        <v>715</v>
      </c>
      <c r="BB6" s="55">
        <v>2.11</v>
      </c>
      <c r="BD6" s="54"/>
      <c r="BE6" s="55" t="s">
        <v>715</v>
      </c>
      <c r="BF6" s="55">
        <v>2.11</v>
      </c>
      <c r="BH6" s="54"/>
      <c r="BI6" s="55" t="s">
        <v>715</v>
      </c>
      <c r="BJ6" s="55">
        <v>2.11</v>
      </c>
      <c r="BL6" s="54"/>
      <c r="BM6" s="55" t="s">
        <v>715</v>
      </c>
      <c r="BN6" s="55">
        <v>2.11</v>
      </c>
      <c r="BP6" s="54"/>
      <c r="BQ6" s="55" t="s">
        <v>715</v>
      </c>
      <c r="BR6" s="55">
        <v>2.11</v>
      </c>
      <c r="BT6" s="54"/>
      <c r="BU6" s="55" t="s">
        <v>695</v>
      </c>
      <c r="BV6" s="55">
        <v>-2.14</v>
      </c>
      <c r="BX6" s="54"/>
      <c r="BY6" s="55" t="s">
        <v>716</v>
      </c>
      <c r="BZ6" s="55">
        <v>4.7699999999999996</v>
      </c>
      <c r="CB6" s="54"/>
      <c r="CC6" s="65" t="s">
        <v>65</v>
      </c>
      <c r="CD6" s="66">
        <v>2.1423999999999999</v>
      </c>
      <c r="CF6" s="54"/>
      <c r="CG6" s="58" t="s">
        <v>760</v>
      </c>
      <c r="CH6" s="56">
        <v>4.18</v>
      </c>
      <c r="CJ6" s="54"/>
      <c r="CK6" s="55" t="s">
        <v>708</v>
      </c>
      <c r="CL6" s="55">
        <v>-0.55000000000000004</v>
      </c>
      <c r="CN6" s="54"/>
      <c r="CO6" s="1" t="s">
        <v>376</v>
      </c>
      <c r="CP6" s="1" t="s">
        <v>377</v>
      </c>
      <c r="CQ6" s="2">
        <v>90.11</v>
      </c>
      <c r="CR6" s="54"/>
      <c r="CS6" s="6" t="s">
        <v>426</v>
      </c>
      <c r="CT6" s="6" t="s">
        <v>427</v>
      </c>
      <c r="CU6" s="89">
        <v>67.08</v>
      </c>
      <c r="CV6" s="54"/>
      <c r="CW6" s="55" t="s">
        <v>708</v>
      </c>
      <c r="CX6" s="55">
        <v>-0.55000000000000004</v>
      </c>
      <c r="CZ6" s="54"/>
      <c r="DA6" s="55" t="s">
        <v>695</v>
      </c>
      <c r="DB6" s="55">
        <v>-2.14</v>
      </c>
      <c r="DD6" s="54"/>
      <c r="DE6" s="55" t="s">
        <v>708</v>
      </c>
      <c r="DF6" s="55">
        <v>-0.55000000000000004</v>
      </c>
      <c r="DH6" s="54"/>
      <c r="DI6" s="55" t="s">
        <v>715</v>
      </c>
      <c r="DJ6" s="55">
        <v>2.11</v>
      </c>
      <c r="DL6" s="54"/>
      <c r="DM6" s="1" t="s">
        <v>595</v>
      </c>
      <c r="DN6" s="1" t="s">
        <v>596</v>
      </c>
      <c r="DO6" s="2">
        <v>50.12</v>
      </c>
      <c r="DP6" s="54"/>
      <c r="DQ6" s="1" t="s">
        <v>272</v>
      </c>
      <c r="DR6" s="1" t="s">
        <v>273</v>
      </c>
      <c r="DS6" s="2">
        <v>41.17</v>
      </c>
      <c r="DT6" s="54"/>
      <c r="DU6" s="1" t="s">
        <v>604</v>
      </c>
      <c r="DV6" s="6" t="s">
        <v>605</v>
      </c>
      <c r="DW6" s="2">
        <v>26.39</v>
      </c>
      <c r="DX6" s="54"/>
      <c r="DY6" s="55" t="s">
        <v>695</v>
      </c>
      <c r="DZ6" s="55">
        <v>-2.14</v>
      </c>
      <c r="EB6" s="54"/>
      <c r="EC6" s="55" t="s">
        <v>715</v>
      </c>
      <c r="ED6" s="55">
        <v>2.11</v>
      </c>
      <c r="EF6" s="54"/>
      <c r="EG6" s="55" t="s">
        <v>715</v>
      </c>
      <c r="EH6" s="55">
        <v>2.11</v>
      </c>
      <c r="EJ6" s="54"/>
      <c r="EK6" s="189" t="s">
        <v>735</v>
      </c>
      <c r="EL6" s="189"/>
      <c r="EN6" s="54"/>
      <c r="EO6" s="58" t="s">
        <v>743</v>
      </c>
      <c r="EP6" s="61">
        <v>6.4271999999999991</v>
      </c>
      <c r="ER6" s="54"/>
      <c r="ES6" s="55" t="s">
        <v>708</v>
      </c>
      <c r="ET6" s="55">
        <v>-0.55000000000000004</v>
      </c>
      <c r="EV6" s="54"/>
      <c r="EW6" s="1" t="s">
        <v>459</v>
      </c>
      <c r="EX6" s="1" t="s">
        <v>460</v>
      </c>
      <c r="EY6" s="2">
        <v>9</v>
      </c>
      <c r="EZ6" s="54"/>
      <c r="FA6" s="1" t="s">
        <v>89</v>
      </c>
      <c r="FB6" s="58"/>
      <c r="FD6" s="54"/>
      <c r="FE6" s="1" t="s">
        <v>113</v>
      </c>
      <c r="FF6" s="58"/>
      <c r="FH6" s="54"/>
      <c r="FI6" s="6" t="s">
        <v>76</v>
      </c>
      <c r="FJ6" s="6" t="s">
        <v>434</v>
      </c>
      <c r="FK6" s="89">
        <v>6.56</v>
      </c>
      <c r="FL6" s="54"/>
      <c r="FM6" s="1" t="s">
        <v>383</v>
      </c>
      <c r="FN6" s="1" t="s">
        <v>384</v>
      </c>
      <c r="FO6" s="2">
        <v>156.80000000000001</v>
      </c>
      <c r="FP6" s="54"/>
      <c r="FT6" s="54"/>
      <c r="FU6" s="55" t="s">
        <v>703</v>
      </c>
      <c r="FX6" s="54"/>
      <c r="FY6" s="55" t="s">
        <v>716</v>
      </c>
      <c r="GB6" s="54"/>
      <c r="GC6" s="58" t="s">
        <v>743</v>
      </c>
      <c r="GD6" s="61">
        <v>6.4271999999999991</v>
      </c>
      <c r="GF6" s="54"/>
    </row>
    <row r="7" spans="1:188" ht="14.4">
      <c r="A7" s="55" t="s">
        <v>703</v>
      </c>
      <c r="B7" s="55">
        <v>0</v>
      </c>
      <c r="D7" s="54"/>
      <c r="E7" s="55" t="s">
        <v>715</v>
      </c>
      <c r="F7" s="55">
        <v>2.11</v>
      </c>
      <c r="H7" s="54"/>
      <c r="I7" s="55" t="s">
        <v>702</v>
      </c>
      <c r="J7" s="55">
        <v>-1.07</v>
      </c>
      <c r="L7" s="54"/>
      <c r="M7" s="55" t="s">
        <v>715</v>
      </c>
      <c r="N7" s="55">
        <v>2.11</v>
      </c>
      <c r="P7" s="54"/>
      <c r="Q7" s="55" t="s">
        <v>744</v>
      </c>
      <c r="R7" s="67">
        <v>6.4271999999999991</v>
      </c>
      <c r="T7" s="54"/>
      <c r="U7" s="55" t="s">
        <v>744</v>
      </c>
      <c r="V7" s="67">
        <v>6.4271999999999991</v>
      </c>
      <c r="X7" s="54"/>
      <c r="Y7" s="189" t="s">
        <v>735</v>
      </c>
      <c r="Z7" s="189"/>
      <c r="AB7" s="54"/>
      <c r="AC7" s="129" t="s">
        <v>1043</v>
      </c>
      <c r="AD7" s="61"/>
      <c r="AF7" s="54"/>
      <c r="AG7" s="55" t="s">
        <v>702</v>
      </c>
      <c r="AH7" s="55">
        <v>-1.07</v>
      </c>
      <c r="AJ7" s="54"/>
      <c r="AK7" s="55" t="s">
        <v>702</v>
      </c>
      <c r="AL7" s="55">
        <v>-1.07</v>
      </c>
      <c r="AN7" s="54"/>
      <c r="AO7" s="55" t="s">
        <v>702</v>
      </c>
      <c r="AP7" s="55">
        <v>-1.07</v>
      </c>
      <c r="AR7" s="54"/>
      <c r="AS7" s="55" t="s">
        <v>702</v>
      </c>
      <c r="AT7" s="55">
        <v>-1.07</v>
      </c>
      <c r="AV7" s="54"/>
      <c r="AW7" s="55" t="s">
        <v>702</v>
      </c>
      <c r="AX7" s="55">
        <v>-1.07</v>
      </c>
      <c r="AZ7" s="54"/>
      <c r="BA7" s="55" t="s">
        <v>702</v>
      </c>
      <c r="BB7" s="55">
        <v>-1.07</v>
      </c>
      <c r="BD7" s="54"/>
      <c r="BE7" s="55" t="s">
        <v>702</v>
      </c>
      <c r="BF7" s="55">
        <v>-1.07</v>
      </c>
      <c r="BH7" s="54"/>
      <c r="BI7" s="55" t="s">
        <v>702</v>
      </c>
      <c r="BJ7" s="55">
        <v>-1.07</v>
      </c>
      <c r="BL7" s="54"/>
      <c r="BM7" s="55" t="s">
        <v>702</v>
      </c>
      <c r="BN7" s="55">
        <v>-1.07</v>
      </c>
      <c r="BP7" s="54"/>
      <c r="BQ7" s="55" t="s">
        <v>702</v>
      </c>
      <c r="BR7" s="55">
        <v>-1.07</v>
      </c>
      <c r="BT7" s="54"/>
      <c r="BU7" s="55" t="s">
        <v>715</v>
      </c>
      <c r="BV7" s="55">
        <v>2.11</v>
      </c>
      <c r="BX7" s="54"/>
      <c r="BY7" s="55" t="s">
        <v>703</v>
      </c>
      <c r="BZ7" s="55">
        <v>0</v>
      </c>
      <c r="CB7" s="54"/>
      <c r="CC7" s="65" t="s">
        <v>66</v>
      </c>
      <c r="CD7" s="66">
        <v>4.2847999999999997</v>
      </c>
      <c r="CF7" s="54"/>
      <c r="CG7" s="58" t="s">
        <v>761</v>
      </c>
      <c r="CH7" s="58">
        <v>4.18</v>
      </c>
      <c r="CJ7" s="54"/>
      <c r="CK7" s="55" t="s">
        <v>695</v>
      </c>
      <c r="CL7" s="55">
        <v>-2.14</v>
      </c>
      <c r="CN7" s="54"/>
      <c r="CO7" s="1" t="s">
        <v>370</v>
      </c>
      <c r="CP7" s="1" t="s">
        <v>371</v>
      </c>
      <c r="CQ7" s="90">
        <v>308.32799999999997</v>
      </c>
      <c r="CR7" s="54"/>
      <c r="CS7" s="189" t="s">
        <v>735</v>
      </c>
      <c r="CT7" s="189"/>
      <c r="CV7" s="54"/>
      <c r="CW7" s="55" t="s">
        <v>695</v>
      </c>
      <c r="CX7" s="55">
        <v>-2.14</v>
      </c>
      <c r="CZ7" s="54"/>
      <c r="DA7" s="55" t="s">
        <v>715</v>
      </c>
      <c r="DB7" s="55">
        <v>2.11</v>
      </c>
      <c r="DD7" s="54"/>
      <c r="DE7" s="55" t="s">
        <v>695</v>
      </c>
      <c r="DF7" s="55">
        <v>-2.14</v>
      </c>
      <c r="DH7" s="54"/>
      <c r="DI7" s="55" t="s">
        <v>702</v>
      </c>
      <c r="DJ7" s="55">
        <v>-1.07</v>
      </c>
      <c r="DL7" s="54"/>
      <c r="DM7" s="1" t="s">
        <v>592</v>
      </c>
      <c r="DN7" s="1" t="s">
        <v>593</v>
      </c>
      <c r="DO7" s="2">
        <v>70.05</v>
      </c>
      <c r="DP7" s="54"/>
      <c r="DQ7" s="1" t="s">
        <v>255</v>
      </c>
      <c r="DR7" s="1" t="s">
        <v>256</v>
      </c>
      <c r="DS7" s="2">
        <v>82.48</v>
      </c>
      <c r="DT7" s="54"/>
      <c r="DU7" s="1" t="s">
        <v>237</v>
      </c>
      <c r="DV7" s="1" t="s">
        <v>238</v>
      </c>
      <c r="DW7" s="90">
        <v>26.39</v>
      </c>
      <c r="DX7" s="54"/>
      <c r="DY7" s="55" t="s">
        <v>715</v>
      </c>
      <c r="DZ7" s="55">
        <v>2.11</v>
      </c>
      <c r="EB7" s="54"/>
      <c r="EC7" s="55" t="s">
        <v>702</v>
      </c>
      <c r="ED7" s="55">
        <v>-1.07</v>
      </c>
      <c r="EF7" s="54"/>
      <c r="EG7" s="55" t="s">
        <v>702</v>
      </c>
      <c r="EH7" s="55">
        <v>-1.07</v>
      </c>
      <c r="EJ7" s="54"/>
      <c r="EK7" s="55" t="s">
        <v>708</v>
      </c>
      <c r="EL7" s="55">
        <v>-0.55000000000000004</v>
      </c>
      <c r="EN7" s="54"/>
      <c r="EO7" s="58" t="s">
        <v>744</v>
      </c>
      <c r="EP7" s="61">
        <v>6.4271999999999991</v>
      </c>
      <c r="ER7" s="54"/>
      <c r="ES7" s="55" t="s">
        <v>695</v>
      </c>
      <c r="ET7" s="55">
        <v>-2.14</v>
      </c>
      <c r="EV7" s="54"/>
      <c r="EW7" s="1" t="s">
        <v>455</v>
      </c>
      <c r="EX7" s="1" t="s">
        <v>456</v>
      </c>
      <c r="EY7" s="2">
        <v>7.18</v>
      </c>
      <c r="EZ7" s="54"/>
      <c r="FA7" s="1" t="s">
        <v>90</v>
      </c>
      <c r="FB7" s="58"/>
      <c r="FD7" s="54"/>
      <c r="FE7" s="1" t="s">
        <v>115</v>
      </c>
      <c r="FF7" s="58"/>
      <c r="FH7" s="54"/>
      <c r="FI7" s="6" t="s">
        <v>896</v>
      </c>
      <c r="FJ7" s="6" t="s">
        <v>895</v>
      </c>
      <c r="FK7" s="89">
        <v>17</v>
      </c>
      <c r="FL7" s="54"/>
      <c r="FM7" s="1" t="s">
        <v>380</v>
      </c>
      <c r="FN7" s="1" t="s">
        <v>381</v>
      </c>
      <c r="FO7" s="2">
        <v>182.82</v>
      </c>
      <c r="FP7" s="54"/>
      <c r="FT7" s="54"/>
      <c r="FU7" s="55" t="s">
        <v>693</v>
      </c>
      <c r="FX7" s="54"/>
      <c r="FY7" s="55" t="s">
        <v>717</v>
      </c>
      <c r="GB7" s="54"/>
      <c r="GC7" s="58" t="s">
        <v>744</v>
      </c>
      <c r="GD7" s="61">
        <v>6.4271999999999991</v>
      </c>
      <c r="GF7" s="54"/>
    </row>
    <row r="8" spans="1:188" ht="14.4">
      <c r="A8" s="55" t="s">
        <v>717</v>
      </c>
      <c r="B8" s="55">
        <v>9.35</v>
      </c>
      <c r="D8" s="54"/>
      <c r="E8" s="55" t="s">
        <v>702</v>
      </c>
      <c r="F8" s="55">
        <v>-1.07</v>
      </c>
      <c r="H8" s="54"/>
      <c r="I8" s="55" t="s">
        <v>716</v>
      </c>
      <c r="J8" s="55">
        <v>4.7699999999999996</v>
      </c>
      <c r="L8" s="54"/>
      <c r="M8" s="55" t="s">
        <v>702</v>
      </c>
      <c r="N8" s="55">
        <v>-1.07</v>
      </c>
      <c r="P8" s="54"/>
      <c r="Q8" s="55" t="s">
        <v>745</v>
      </c>
      <c r="R8" s="67">
        <v>6.4271999999999991</v>
      </c>
      <c r="T8" s="54"/>
      <c r="U8" s="55" t="s">
        <v>745</v>
      </c>
      <c r="V8" s="67">
        <v>6.4271999999999991</v>
      </c>
      <c r="X8" s="54"/>
      <c r="Y8" s="55" t="s">
        <v>715</v>
      </c>
      <c r="AB8" s="54"/>
      <c r="AC8" s="129" t="s">
        <v>1044</v>
      </c>
      <c r="AD8" s="61"/>
      <c r="AF8" s="54"/>
      <c r="AG8" s="55" t="s">
        <v>716</v>
      </c>
      <c r="AH8" s="55">
        <v>4.7699999999999996</v>
      </c>
      <c r="AJ8" s="54"/>
      <c r="AK8" s="55" t="s">
        <v>716</v>
      </c>
      <c r="AL8" s="55">
        <v>4.7699999999999996</v>
      </c>
      <c r="AN8" s="54"/>
      <c r="AO8" s="55" t="s">
        <v>716</v>
      </c>
      <c r="AP8" s="55">
        <v>4.7699999999999996</v>
      </c>
      <c r="AR8" s="54"/>
      <c r="AS8" s="55" t="s">
        <v>716</v>
      </c>
      <c r="AT8" s="55">
        <v>4.7699999999999996</v>
      </c>
      <c r="AV8" s="54"/>
      <c r="AW8" s="55" t="s">
        <v>716</v>
      </c>
      <c r="AX8" s="55">
        <v>4.7699999999999996</v>
      </c>
      <c r="AZ8" s="54"/>
      <c r="BA8" s="55" t="s">
        <v>716</v>
      </c>
      <c r="BB8" s="55">
        <v>4.7699999999999996</v>
      </c>
      <c r="BD8" s="54"/>
      <c r="BE8" s="55" t="s">
        <v>716</v>
      </c>
      <c r="BF8" s="55">
        <v>4.7699999999999996</v>
      </c>
      <c r="BH8" s="54"/>
      <c r="BI8" s="55" t="s">
        <v>716</v>
      </c>
      <c r="BJ8" s="55">
        <v>4.7699999999999996</v>
      </c>
      <c r="BL8" s="54"/>
      <c r="BM8" s="55" t="s">
        <v>716</v>
      </c>
      <c r="BN8" s="55">
        <v>4.7699999999999996</v>
      </c>
      <c r="BP8" s="54"/>
      <c r="BQ8" s="55" t="s">
        <v>716</v>
      </c>
      <c r="BR8" s="55">
        <v>4.7699999999999996</v>
      </c>
      <c r="BT8" s="54"/>
      <c r="BU8" s="55" t="s">
        <v>702</v>
      </c>
      <c r="BV8" s="55">
        <v>-1.07</v>
      </c>
      <c r="BX8" s="54"/>
      <c r="BY8" s="55" t="s">
        <v>717</v>
      </c>
      <c r="BZ8" s="55">
        <v>9.35</v>
      </c>
      <c r="CB8" s="54"/>
      <c r="CC8" s="65" t="s">
        <v>67</v>
      </c>
      <c r="CD8" s="66">
        <v>16.59</v>
      </c>
      <c r="CF8" s="54"/>
      <c r="CG8" s="58" t="s">
        <v>765</v>
      </c>
      <c r="CH8" s="62">
        <v>0</v>
      </c>
      <c r="CJ8" s="54"/>
      <c r="CK8" s="55" t="s">
        <v>715</v>
      </c>
      <c r="CL8" s="55">
        <v>2.11</v>
      </c>
      <c r="CN8" s="54"/>
      <c r="CO8" s="1" t="s">
        <v>325</v>
      </c>
      <c r="CP8" s="1" t="s">
        <v>326</v>
      </c>
      <c r="CQ8" s="2">
        <v>32.47</v>
      </c>
      <c r="CR8" s="54"/>
      <c r="CS8" s="55" t="s">
        <v>708</v>
      </c>
      <c r="CT8" s="55">
        <v>-0.55000000000000004</v>
      </c>
      <c r="CV8" s="54"/>
      <c r="CW8" s="55" t="s">
        <v>715</v>
      </c>
      <c r="CX8" s="55">
        <v>2.11</v>
      </c>
      <c r="CZ8" s="54"/>
      <c r="DA8" s="55" t="s">
        <v>702</v>
      </c>
      <c r="DB8" s="55">
        <v>-1.07</v>
      </c>
      <c r="DD8" s="54"/>
      <c r="DE8" s="55" t="s">
        <v>715</v>
      </c>
      <c r="DF8" s="55">
        <v>2.11</v>
      </c>
      <c r="DH8" s="54"/>
      <c r="DI8" s="55" t="s">
        <v>716</v>
      </c>
      <c r="DJ8" s="55">
        <v>4.7699999999999996</v>
      </c>
      <c r="DL8" s="54"/>
      <c r="DM8" s="1" t="s">
        <v>590</v>
      </c>
      <c r="DN8" s="1" t="s">
        <v>591</v>
      </c>
      <c r="DO8" s="2">
        <v>46.89</v>
      </c>
      <c r="DP8" s="54"/>
      <c r="DQ8" s="1" t="s">
        <v>252</v>
      </c>
      <c r="DR8" s="1" t="s">
        <v>253</v>
      </c>
      <c r="DS8" s="2">
        <v>87.84</v>
      </c>
      <c r="DT8" s="54"/>
      <c r="DU8" s="21" t="s">
        <v>735</v>
      </c>
      <c r="DV8" s="21"/>
      <c r="DX8" s="54"/>
      <c r="DY8" s="55" t="s">
        <v>702</v>
      </c>
      <c r="DZ8" s="55">
        <v>-1.07</v>
      </c>
      <c r="EB8" s="54"/>
      <c r="EC8" s="55" t="s">
        <v>716</v>
      </c>
      <c r="ED8" s="55">
        <v>4.7699999999999996</v>
      </c>
      <c r="EF8" s="54"/>
      <c r="EG8" s="55" t="s">
        <v>716</v>
      </c>
      <c r="EH8" s="55">
        <v>4.7699999999999996</v>
      </c>
      <c r="EJ8" s="54"/>
      <c r="EK8" s="55" t="s">
        <v>695</v>
      </c>
      <c r="EL8" s="55">
        <v>-2.14</v>
      </c>
      <c r="EN8" s="54"/>
      <c r="EO8" s="58" t="s">
        <v>745</v>
      </c>
      <c r="EP8" s="61">
        <v>6.4271999999999991</v>
      </c>
      <c r="ER8" s="54"/>
      <c r="ES8" s="55" t="s">
        <v>715</v>
      </c>
      <c r="ET8" s="55">
        <v>2.11</v>
      </c>
      <c r="EV8" s="54"/>
      <c r="EW8" s="6" t="s">
        <v>453</v>
      </c>
      <c r="EX8" s="6" t="s">
        <v>454</v>
      </c>
      <c r="EY8" s="89">
        <v>11.49</v>
      </c>
      <c r="EZ8" s="54"/>
      <c r="FA8" s="1" t="s">
        <v>91</v>
      </c>
      <c r="FB8" s="58"/>
      <c r="FD8" s="54"/>
      <c r="FE8" s="1" t="s">
        <v>112</v>
      </c>
      <c r="FF8" s="58"/>
      <c r="FH8" s="54"/>
      <c r="FI8" s="6" t="s">
        <v>431</v>
      </c>
      <c r="FJ8" s="6" t="s">
        <v>432</v>
      </c>
      <c r="FK8" s="89">
        <v>6.56</v>
      </c>
      <c r="FL8" s="54"/>
      <c r="FM8" s="1"/>
      <c r="FN8" s="1"/>
      <c r="FO8" s="2"/>
      <c r="FP8" s="54"/>
      <c r="FT8" s="54"/>
      <c r="FU8" s="55" t="s">
        <v>694</v>
      </c>
      <c r="FX8" s="54"/>
      <c r="FY8" s="55" t="s">
        <v>718</v>
      </c>
      <c r="GB8" s="54"/>
      <c r="GC8" s="58" t="s">
        <v>745</v>
      </c>
      <c r="GD8" s="61">
        <v>6.4271999999999991</v>
      </c>
      <c r="GF8" s="54"/>
    </row>
    <row r="9" spans="1:188" ht="14.4">
      <c r="A9" s="55" t="s">
        <v>693</v>
      </c>
      <c r="B9" s="55">
        <v>2.99</v>
      </c>
      <c r="D9" s="54"/>
      <c r="E9" s="55" t="s">
        <v>716</v>
      </c>
      <c r="F9" s="55">
        <v>4.7699999999999996</v>
      </c>
      <c r="H9" s="54"/>
      <c r="I9" s="55" t="s">
        <v>703</v>
      </c>
      <c r="J9" s="55">
        <v>0</v>
      </c>
      <c r="L9" s="54"/>
      <c r="M9" s="55" t="s">
        <v>716</v>
      </c>
      <c r="N9" s="55">
        <v>4.7699999999999996</v>
      </c>
      <c r="P9" s="54"/>
      <c r="Q9" s="55" t="s">
        <v>746</v>
      </c>
      <c r="R9" s="67">
        <v>6.4271999999999991</v>
      </c>
      <c r="T9" s="54"/>
      <c r="U9" s="55" t="s">
        <v>746</v>
      </c>
      <c r="V9" s="67">
        <v>6.4271999999999991</v>
      </c>
      <c r="X9" s="54"/>
      <c r="Y9" s="55" t="s">
        <v>702</v>
      </c>
      <c r="AB9" s="54"/>
      <c r="AC9" s="129" t="s">
        <v>1045</v>
      </c>
      <c r="AD9" s="61"/>
      <c r="AF9" s="54"/>
      <c r="AG9" s="55" t="s">
        <v>703</v>
      </c>
      <c r="AH9" s="55">
        <v>0</v>
      </c>
      <c r="AJ9" s="54"/>
      <c r="AK9" s="55" t="s">
        <v>703</v>
      </c>
      <c r="AL9" s="55">
        <v>0</v>
      </c>
      <c r="AN9" s="54"/>
      <c r="AO9" s="55" t="s">
        <v>703</v>
      </c>
      <c r="AP9" s="55">
        <v>0</v>
      </c>
      <c r="AR9" s="54"/>
      <c r="AS9" s="55" t="s">
        <v>703</v>
      </c>
      <c r="AT9" s="55">
        <v>0</v>
      </c>
      <c r="AV9" s="54"/>
      <c r="AW9" s="55" t="s">
        <v>703</v>
      </c>
      <c r="AX9" s="55">
        <v>0</v>
      </c>
      <c r="AZ9" s="54"/>
      <c r="BA9" s="55" t="s">
        <v>703</v>
      </c>
      <c r="BB9" s="55">
        <v>0</v>
      </c>
      <c r="BD9" s="54"/>
      <c r="BE9" s="55" t="s">
        <v>703</v>
      </c>
      <c r="BF9" s="55">
        <v>0</v>
      </c>
      <c r="BH9" s="54"/>
      <c r="BI9" s="55" t="s">
        <v>703</v>
      </c>
      <c r="BJ9" s="55">
        <v>0</v>
      </c>
      <c r="BL9" s="54"/>
      <c r="BM9" s="55" t="s">
        <v>703</v>
      </c>
      <c r="BN9" s="55">
        <v>0</v>
      </c>
      <c r="BP9" s="54"/>
      <c r="BQ9" s="55" t="s">
        <v>703</v>
      </c>
      <c r="BR9" s="55">
        <v>0</v>
      </c>
      <c r="BT9" s="54"/>
      <c r="BU9" s="55" t="s">
        <v>716</v>
      </c>
      <c r="BV9" s="55">
        <v>4.7699999999999996</v>
      </c>
      <c r="BX9" s="54"/>
      <c r="BY9" s="55" t="s">
        <v>693</v>
      </c>
      <c r="BZ9" s="55">
        <v>2.99</v>
      </c>
      <c r="CB9" s="54"/>
      <c r="CC9" s="65" t="s">
        <v>68</v>
      </c>
      <c r="CD9" s="66">
        <v>21.96</v>
      </c>
      <c r="CF9" s="54"/>
      <c r="CG9" s="58" t="s">
        <v>766</v>
      </c>
      <c r="CH9" s="58">
        <v>0</v>
      </c>
      <c r="CJ9" s="54"/>
      <c r="CK9" s="55" t="s">
        <v>702</v>
      </c>
      <c r="CL9" s="55">
        <v>-1.07</v>
      </c>
      <c r="CN9" s="54"/>
      <c r="CO9" s="1" t="s">
        <v>322</v>
      </c>
      <c r="CP9" s="1" t="s">
        <v>323</v>
      </c>
      <c r="CQ9" s="2">
        <v>38.44</v>
      </c>
      <c r="CR9" s="54"/>
      <c r="CS9" s="55" t="s">
        <v>695</v>
      </c>
      <c r="CT9" s="55">
        <v>-2.14</v>
      </c>
      <c r="CV9" s="54"/>
      <c r="CW9" s="55" t="s">
        <v>702</v>
      </c>
      <c r="CX9" s="55">
        <v>-1.07</v>
      </c>
      <c r="CZ9" s="54"/>
      <c r="DA9" s="55" t="s">
        <v>716</v>
      </c>
      <c r="DB9" s="55">
        <v>4.7699999999999996</v>
      </c>
      <c r="DD9" s="54"/>
      <c r="DE9" s="55" t="s">
        <v>702</v>
      </c>
      <c r="DF9" s="55">
        <v>-1.07</v>
      </c>
      <c r="DH9" s="54"/>
      <c r="DI9" s="55" t="s">
        <v>703</v>
      </c>
      <c r="DJ9" s="55">
        <v>0</v>
      </c>
      <c r="DL9" s="54"/>
      <c r="DM9" s="1" t="s">
        <v>587</v>
      </c>
      <c r="DN9" s="1" t="s">
        <v>588</v>
      </c>
      <c r="DO9" s="2">
        <v>43.92</v>
      </c>
      <c r="DP9" s="54"/>
      <c r="DQ9" s="1" t="s">
        <v>246</v>
      </c>
      <c r="DR9" s="1" t="s">
        <v>247</v>
      </c>
      <c r="DS9" s="2">
        <v>84.62</v>
      </c>
      <c r="DT9" s="54"/>
      <c r="DU9" s="55" t="s">
        <v>708</v>
      </c>
      <c r="DV9" s="55">
        <v>-0.55000000000000004</v>
      </c>
      <c r="DX9" s="54"/>
      <c r="DY9" s="55" t="s">
        <v>716</v>
      </c>
      <c r="DZ9" s="55">
        <v>4.7699999999999996</v>
      </c>
      <c r="EB9" s="54"/>
      <c r="EC9" s="55" t="s">
        <v>703</v>
      </c>
      <c r="ED9" s="55">
        <v>0</v>
      </c>
      <c r="EF9" s="54"/>
      <c r="EG9" s="55" t="s">
        <v>703</v>
      </c>
      <c r="EH9" s="55">
        <v>0</v>
      </c>
      <c r="EJ9" s="54"/>
      <c r="EK9" s="55" t="s">
        <v>715</v>
      </c>
      <c r="EL9" s="55">
        <v>2.11</v>
      </c>
      <c r="EN9" s="54"/>
      <c r="EO9" s="58" t="s">
        <v>746</v>
      </c>
      <c r="EP9" s="61">
        <v>6.4271999999999991</v>
      </c>
      <c r="ER9" s="54"/>
      <c r="ES9" s="55" t="s">
        <v>702</v>
      </c>
      <c r="ET9" s="55">
        <v>-1.07</v>
      </c>
      <c r="EV9" s="54"/>
      <c r="EW9" s="6" t="s">
        <v>450</v>
      </c>
      <c r="EX9" s="6" t="s">
        <v>451</v>
      </c>
      <c r="EY9" s="89">
        <v>17.64</v>
      </c>
      <c r="EZ9" s="54"/>
      <c r="FA9" s="1" t="s">
        <v>92</v>
      </c>
      <c r="FB9" s="58"/>
      <c r="FD9" s="54"/>
      <c r="FE9" s="1" t="s">
        <v>114</v>
      </c>
      <c r="FF9" s="58"/>
      <c r="FH9" s="54"/>
      <c r="FI9" s="189" t="s">
        <v>736</v>
      </c>
      <c r="FJ9" s="189"/>
      <c r="FL9" s="54"/>
      <c r="FM9" s="189" t="s">
        <v>736</v>
      </c>
      <c r="FN9" s="189"/>
      <c r="FP9" s="54"/>
      <c r="FT9" s="54"/>
      <c r="FU9" s="55" t="s">
        <v>704</v>
      </c>
      <c r="FX9" s="54"/>
      <c r="FY9" s="55" t="s">
        <v>719</v>
      </c>
      <c r="GB9" s="54"/>
      <c r="GC9" s="58" t="s">
        <v>746</v>
      </c>
      <c r="GD9" s="61">
        <v>6.4271999999999991</v>
      </c>
      <c r="GF9" s="54"/>
    </row>
    <row r="10" spans="1:188" ht="14.4">
      <c r="A10" s="55" t="s">
        <v>718</v>
      </c>
      <c r="B10" s="55">
        <v>13.93</v>
      </c>
      <c r="D10" s="54"/>
      <c r="E10" s="55" t="s">
        <v>703</v>
      </c>
      <c r="F10" s="55">
        <v>0</v>
      </c>
      <c r="H10" s="54"/>
      <c r="I10" s="55" t="s">
        <v>717</v>
      </c>
      <c r="J10" s="55">
        <v>9.35</v>
      </c>
      <c r="L10" s="54"/>
      <c r="M10" s="55" t="s">
        <v>703</v>
      </c>
      <c r="N10" s="55">
        <v>0</v>
      </c>
      <c r="P10" s="54"/>
      <c r="Q10" s="189" t="s">
        <v>734</v>
      </c>
      <c r="R10" s="189"/>
      <c r="T10" s="54"/>
      <c r="U10" s="189" t="s">
        <v>734</v>
      </c>
      <c r="V10" s="189"/>
      <c r="X10" s="54"/>
      <c r="Y10" s="55" t="s">
        <v>716</v>
      </c>
      <c r="AB10" s="54"/>
      <c r="AC10" s="129" t="s">
        <v>1046</v>
      </c>
      <c r="AD10" s="61"/>
      <c r="AF10" s="54"/>
      <c r="AG10" s="55" t="s">
        <v>717</v>
      </c>
      <c r="AH10" s="55">
        <v>9.35</v>
      </c>
      <c r="AJ10" s="54"/>
      <c r="AK10" s="55" t="s">
        <v>717</v>
      </c>
      <c r="AL10" s="55">
        <v>9.35</v>
      </c>
      <c r="AN10" s="54"/>
      <c r="AO10" s="55" t="s">
        <v>717</v>
      </c>
      <c r="AP10" s="55">
        <v>9.35</v>
      </c>
      <c r="AR10" s="54"/>
      <c r="AS10" s="55" t="s">
        <v>717</v>
      </c>
      <c r="AT10" s="55">
        <v>9.35</v>
      </c>
      <c r="AV10" s="54"/>
      <c r="AW10" s="55" t="s">
        <v>717</v>
      </c>
      <c r="AX10" s="55">
        <v>9.35</v>
      </c>
      <c r="AZ10" s="54"/>
      <c r="BA10" s="55" t="s">
        <v>717</v>
      </c>
      <c r="BB10" s="55">
        <v>9.35</v>
      </c>
      <c r="BD10" s="54"/>
      <c r="BE10" s="55" t="s">
        <v>717</v>
      </c>
      <c r="BF10" s="55">
        <v>9.35</v>
      </c>
      <c r="BH10" s="54"/>
      <c r="BI10" s="55" t="s">
        <v>717</v>
      </c>
      <c r="BJ10" s="55">
        <v>9.35</v>
      </c>
      <c r="BL10" s="54"/>
      <c r="BM10" s="55" t="s">
        <v>717</v>
      </c>
      <c r="BN10" s="55">
        <v>9.35</v>
      </c>
      <c r="BP10" s="54"/>
      <c r="BQ10" s="55" t="s">
        <v>717</v>
      </c>
      <c r="BR10" s="55">
        <v>9.35</v>
      </c>
      <c r="BT10" s="54"/>
      <c r="BU10" s="55" t="s">
        <v>703</v>
      </c>
      <c r="BV10" s="55">
        <v>0</v>
      </c>
      <c r="BX10" s="54"/>
      <c r="BY10" s="55" t="s">
        <v>718</v>
      </c>
      <c r="BZ10" s="55">
        <v>13.93</v>
      </c>
      <c r="CB10" s="54"/>
      <c r="CC10" s="65" t="s">
        <v>69</v>
      </c>
      <c r="CD10" s="66">
        <v>21.96</v>
      </c>
      <c r="CF10" s="54"/>
      <c r="CG10" s="58" t="s">
        <v>769</v>
      </c>
      <c r="CH10" s="58">
        <v>-2</v>
      </c>
      <c r="CJ10" s="54"/>
      <c r="CK10" s="55" t="s">
        <v>716</v>
      </c>
      <c r="CL10" s="55">
        <v>4.7699999999999996</v>
      </c>
      <c r="CN10" s="54"/>
      <c r="CO10" s="1" t="s">
        <v>320</v>
      </c>
      <c r="CP10" s="1" t="s">
        <v>321</v>
      </c>
      <c r="CQ10" s="2">
        <v>45.46</v>
      </c>
      <c r="CR10" s="54"/>
      <c r="CS10" s="55" t="s">
        <v>715</v>
      </c>
      <c r="CT10" s="55">
        <v>2.11</v>
      </c>
      <c r="CV10" s="54"/>
      <c r="CW10" s="55" t="s">
        <v>716</v>
      </c>
      <c r="CX10" s="55">
        <v>4.7699999999999996</v>
      </c>
      <c r="CZ10" s="54"/>
      <c r="DA10" s="55" t="s">
        <v>703</v>
      </c>
      <c r="DB10" s="55">
        <v>0</v>
      </c>
      <c r="DD10" s="54"/>
      <c r="DE10" s="55" t="s">
        <v>716</v>
      </c>
      <c r="DF10" s="55">
        <v>4.7699999999999996</v>
      </c>
      <c r="DH10" s="54"/>
      <c r="DI10" s="55" t="s">
        <v>717</v>
      </c>
      <c r="DJ10" s="55">
        <v>9.35</v>
      </c>
      <c r="DL10" s="54"/>
      <c r="DM10" s="1" t="s">
        <v>576</v>
      </c>
      <c r="DN10" s="1" t="s">
        <v>577</v>
      </c>
      <c r="DO10" s="2">
        <v>70.05</v>
      </c>
      <c r="DP10" s="54"/>
      <c r="DQ10" s="21" t="s">
        <v>735</v>
      </c>
      <c r="DR10" s="21"/>
      <c r="DT10" s="54"/>
      <c r="DU10" s="55" t="s">
        <v>695</v>
      </c>
      <c r="DV10" s="55">
        <v>-2.14</v>
      </c>
      <c r="DX10" s="54"/>
      <c r="DY10" s="55" t="s">
        <v>703</v>
      </c>
      <c r="DZ10" s="55">
        <v>0</v>
      </c>
      <c r="EB10" s="54"/>
      <c r="EC10" s="55" t="s">
        <v>717</v>
      </c>
      <c r="ED10" s="55">
        <v>9.35</v>
      </c>
      <c r="EF10" s="54"/>
      <c r="EG10" s="55" t="s">
        <v>717</v>
      </c>
      <c r="EH10" s="55">
        <v>9.35</v>
      </c>
      <c r="EJ10" s="54"/>
      <c r="EK10" s="55" t="s">
        <v>702</v>
      </c>
      <c r="EL10" s="55">
        <v>-1.07</v>
      </c>
      <c r="EN10" s="54"/>
      <c r="EO10" s="189" t="s">
        <v>778</v>
      </c>
      <c r="EP10" s="189"/>
      <c r="ER10" s="54"/>
      <c r="ES10" s="55" t="s">
        <v>716</v>
      </c>
      <c r="ET10" s="55">
        <v>4.7699999999999996</v>
      </c>
      <c r="EV10" s="54"/>
      <c r="EW10" s="6" t="s">
        <v>448</v>
      </c>
      <c r="EX10" s="6" t="s">
        <v>449</v>
      </c>
      <c r="EY10" s="89">
        <v>7.18</v>
      </c>
      <c r="EZ10" s="54"/>
      <c r="FA10" s="1" t="s">
        <v>93</v>
      </c>
      <c r="FB10" s="58"/>
      <c r="FD10" s="54"/>
      <c r="FE10" s="1" t="s">
        <v>116</v>
      </c>
      <c r="FF10" s="58"/>
      <c r="FH10" s="54"/>
      <c r="FI10" s="5" t="s">
        <v>750</v>
      </c>
      <c r="FJ10" s="61"/>
      <c r="FL10" s="54"/>
      <c r="FM10" s="1" t="s">
        <v>897</v>
      </c>
      <c r="FN10" s="1"/>
      <c r="FP10" s="54"/>
      <c r="FT10" s="54"/>
      <c r="FU10" s="55" t="s">
        <v>705</v>
      </c>
      <c r="FX10" s="54"/>
      <c r="FY10" s="55" t="s">
        <v>720</v>
      </c>
      <c r="GB10" s="54"/>
      <c r="GC10" s="189" t="s">
        <v>778</v>
      </c>
      <c r="GD10" s="189"/>
      <c r="GF10" s="54"/>
    </row>
    <row r="11" spans="1:188" ht="14.4">
      <c r="A11" s="55" t="s">
        <v>694</v>
      </c>
      <c r="B11" s="55">
        <v>5.98</v>
      </c>
      <c r="D11" s="54"/>
      <c r="E11" s="55" t="s">
        <v>717</v>
      </c>
      <c r="F11" s="55">
        <v>9.35</v>
      </c>
      <c r="H11" s="54"/>
      <c r="I11" s="55" t="s">
        <v>693</v>
      </c>
      <c r="J11" s="55">
        <v>2.99</v>
      </c>
      <c r="L11" s="54"/>
      <c r="M11" s="55" t="s">
        <v>717</v>
      </c>
      <c r="N11" s="55">
        <v>9.35</v>
      </c>
      <c r="P11" s="54"/>
      <c r="Q11" s="56" t="s">
        <v>603</v>
      </c>
      <c r="R11" s="57">
        <v>0</v>
      </c>
      <c r="S11" s="55" t="s">
        <v>829</v>
      </c>
      <c r="T11" s="54"/>
      <c r="U11" s="58" t="s">
        <v>49</v>
      </c>
      <c r="V11" s="59"/>
      <c r="X11" s="54"/>
      <c r="Y11" s="55" t="s">
        <v>703</v>
      </c>
      <c r="AB11" s="54"/>
      <c r="AC11" s="189" t="s">
        <v>735</v>
      </c>
      <c r="AD11" s="189"/>
      <c r="AF11" s="54"/>
      <c r="AG11" s="55" t="s">
        <v>693</v>
      </c>
      <c r="AH11" s="55">
        <v>2.99</v>
      </c>
      <c r="AJ11" s="54"/>
      <c r="AK11" s="55" t="s">
        <v>693</v>
      </c>
      <c r="AL11" s="55">
        <v>2.99</v>
      </c>
      <c r="AN11" s="54"/>
      <c r="AO11" s="55" t="s">
        <v>693</v>
      </c>
      <c r="AP11" s="55">
        <v>2.99</v>
      </c>
      <c r="AR11" s="54"/>
      <c r="AS11" s="55" t="s">
        <v>693</v>
      </c>
      <c r="AT11" s="55">
        <v>2.99</v>
      </c>
      <c r="AV11" s="54"/>
      <c r="AW11" s="55" t="s">
        <v>693</v>
      </c>
      <c r="AX11" s="55">
        <v>2.99</v>
      </c>
      <c r="AZ11" s="54"/>
      <c r="BA11" s="55" t="s">
        <v>693</v>
      </c>
      <c r="BB11" s="55">
        <v>2.99</v>
      </c>
      <c r="BD11" s="54"/>
      <c r="BE11" s="55" t="s">
        <v>693</v>
      </c>
      <c r="BF11" s="55">
        <v>2.99</v>
      </c>
      <c r="BH11" s="54"/>
      <c r="BI11" s="55" t="s">
        <v>693</v>
      </c>
      <c r="BJ11" s="55">
        <v>2.99</v>
      </c>
      <c r="BL11" s="54"/>
      <c r="BM11" s="55" t="s">
        <v>693</v>
      </c>
      <c r="BN11" s="55">
        <v>2.99</v>
      </c>
      <c r="BP11" s="54"/>
      <c r="BQ11" s="55" t="s">
        <v>693</v>
      </c>
      <c r="BR11" s="55">
        <v>2.99</v>
      </c>
      <c r="BT11" s="54"/>
      <c r="BU11" s="55" t="s">
        <v>717</v>
      </c>
      <c r="BV11" s="55">
        <v>9.35</v>
      </c>
      <c r="BX11" s="54"/>
      <c r="BY11" s="55" t="s">
        <v>694</v>
      </c>
      <c r="BZ11" s="55">
        <v>5.98</v>
      </c>
      <c r="CB11" s="54"/>
      <c r="CC11" s="189" t="s">
        <v>736</v>
      </c>
      <c r="CD11" s="189"/>
      <c r="CF11" s="54"/>
      <c r="CG11" s="189" t="s">
        <v>778</v>
      </c>
      <c r="CH11" s="189"/>
      <c r="CJ11" s="54"/>
      <c r="CK11" s="55" t="s">
        <v>703</v>
      </c>
      <c r="CL11" s="55">
        <v>0</v>
      </c>
      <c r="CN11" s="54"/>
      <c r="CO11" s="1" t="s">
        <v>318</v>
      </c>
      <c r="CP11" s="1" t="s">
        <v>319</v>
      </c>
      <c r="CQ11" s="90">
        <v>20.36</v>
      </c>
      <c r="CR11" s="54"/>
      <c r="CS11" s="55" t="s">
        <v>702</v>
      </c>
      <c r="CT11" s="55">
        <v>-1.07</v>
      </c>
      <c r="CV11" s="54"/>
      <c r="CW11" s="55" t="s">
        <v>703</v>
      </c>
      <c r="CX11" s="55">
        <v>0</v>
      </c>
      <c r="CZ11" s="54"/>
      <c r="DA11" s="55" t="s">
        <v>717</v>
      </c>
      <c r="DB11" s="55">
        <v>9.35</v>
      </c>
      <c r="DD11" s="54"/>
      <c r="DE11" s="55" t="s">
        <v>703</v>
      </c>
      <c r="DF11" s="55">
        <v>0</v>
      </c>
      <c r="DH11" s="54"/>
      <c r="DI11" s="55" t="s">
        <v>693</v>
      </c>
      <c r="DJ11" s="55">
        <v>2.99</v>
      </c>
      <c r="DL11" s="54"/>
      <c r="DM11" s="1" t="s">
        <v>567</v>
      </c>
      <c r="DN11" s="1" t="s">
        <v>568</v>
      </c>
      <c r="DO11" s="2">
        <v>44.76</v>
      </c>
      <c r="DP11" s="54"/>
      <c r="DQ11" s="55" t="s">
        <v>708</v>
      </c>
      <c r="DR11" s="55">
        <v>-0.55000000000000004</v>
      </c>
      <c r="DT11" s="54"/>
      <c r="DU11" s="55" t="s">
        <v>715</v>
      </c>
      <c r="DV11" s="55">
        <v>2.11</v>
      </c>
      <c r="DX11" s="54"/>
      <c r="DY11" s="55" t="s">
        <v>717</v>
      </c>
      <c r="DZ11" s="55">
        <v>9.35</v>
      </c>
      <c r="EB11" s="54"/>
      <c r="EC11" s="55" t="s">
        <v>693</v>
      </c>
      <c r="ED11" s="55">
        <v>2.99</v>
      </c>
      <c r="EF11" s="54"/>
      <c r="EG11" s="55" t="s">
        <v>693</v>
      </c>
      <c r="EH11" s="55">
        <v>2.99</v>
      </c>
      <c r="EJ11" s="54"/>
      <c r="EK11" s="55" t="s">
        <v>716</v>
      </c>
      <c r="EL11" s="55">
        <v>4.7699999999999996</v>
      </c>
      <c r="EN11" s="54"/>
      <c r="EO11" s="58" t="s">
        <v>783</v>
      </c>
      <c r="EP11" s="56">
        <v>1.46</v>
      </c>
      <c r="ER11" s="54"/>
      <c r="ES11" s="55" t="s">
        <v>703</v>
      </c>
      <c r="ET11" s="55">
        <v>0</v>
      </c>
      <c r="EV11" s="54"/>
      <c r="EW11" s="6" t="s">
        <v>446</v>
      </c>
      <c r="EX11" s="6" t="s">
        <v>447</v>
      </c>
      <c r="EY11" s="89">
        <v>13.37</v>
      </c>
      <c r="EZ11" s="54"/>
      <c r="FA11" s="1" t="s">
        <v>94</v>
      </c>
      <c r="FB11" s="58"/>
      <c r="FD11" s="54"/>
      <c r="FE11" s="189" t="s">
        <v>736</v>
      </c>
      <c r="FF11" s="189"/>
      <c r="FH11" s="54"/>
      <c r="FI11" s="5" t="s">
        <v>751</v>
      </c>
      <c r="FJ11" s="61"/>
      <c r="FL11" s="54"/>
      <c r="FM11" s="1" t="s">
        <v>898</v>
      </c>
      <c r="FN11" s="1"/>
      <c r="FP11" s="54"/>
      <c r="FT11" s="54"/>
      <c r="FU11" s="55" t="s">
        <v>706</v>
      </c>
      <c r="FX11" s="54"/>
      <c r="FY11" s="55" t="s">
        <v>721</v>
      </c>
      <c r="GB11" s="54"/>
      <c r="GC11" s="58" t="s">
        <v>783</v>
      </c>
      <c r="GD11" s="56">
        <v>1.46</v>
      </c>
      <c r="GF11" s="54"/>
    </row>
    <row r="12" spans="1:188" ht="14.4">
      <c r="A12" s="55" t="s">
        <v>719</v>
      </c>
      <c r="B12" s="55">
        <v>18.510000000000002</v>
      </c>
      <c r="D12" s="54"/>
      <c r="E12" s="55" t="s">
        <v>693</v>
      </c>
      <c r="F12" s="55">
        <v>2.99</v>
      </c>
      <c r="H12" s="54"/>
      <c r="I12" s="55" t="s">
        <v>718</v>
      </c>
      <c r="J12" s="55">
        <v>13.93</v>
      </c>
      <c r="L12" s="54"/>
      <c r="M12" s="55" t="s">
        <v>693</v>
      </c>
      <c r="N12" s="55">
        <v>2.99</v>
      </c>
      <c r="P12" s="54"/>
      <c r="Q12" s="56" t="s">
        <v>600</v>
      </c>
      <c r="R12" s="57">
        <v>0</v>
      </c>
      <c r="T12" s="54"/>
      <c r="U12" s="58" t="s">
        <v>50</v>
      </c>
      <c r="V12" s="59"/>
      <c r="X12" s="54"/>
      <c r="Y12" s="55" t="s">
        <v>717</v>
      </c>
      <c r="AB12" s="54"/>
      <c r="AC12" s="55" t="s">
        <v>715</v>
      </c>
      <c r="AF12" s="54"/>
      <c r="AG12" s="55" t="s">
        <v>718</v>
      </c>
      <c r="AH12" s="55">
        <v>13.93</v>
      </c>
      <c r="AJ12" s="54"/>
      <c r="AK12" s="55" t="s">
        <v>718</v>
      </c>
      <c r="AL12" s="55">
        <v>13.93</v>
      </c>
      <c r="AN12" s="54"/>
      <c r="AO12" s="55" t="s">
        <v>718</v>
      </c>
      <c r="AP12" s="55">
        <v>13.93</v>
      </c>
      <c r="AR12" s="54"/>
      <c r="AS12" s="55" t="s">
        <v>718</v>
      </c>
      <c r="AT12" s="55">
        <v>13.93</v>
      </c>
      <c r="AV12" s="54"/>
      <c r="AW12" s="55" t="s">
        <v>718</v>
      </c>
      <c r="AX12" s="55">
        <v>13.93</v>
      </c>
      <c r="AZ12" s="54"/>
      <c r="BA12" s="55" t="s">
        <v>718</v>
      </c>
      <c r="BB12" s="55">
        <v>13.93</v>
      </c>
      <c r="BD12" s="54"/>
      <c r="BE12" s="55" t="s">
        <v>718</v>
      </c>
      <c r="BF12" s="55">
        <v>13.93</v>
      </c>
      <c r="BH12" s="54"/>
      <c r="BI12" s="55" t="s">
        <v>718</v>
      </c>
      <c r="BJ12" s="55">
        <v>13.93</v>
      </c>
      <c r="BL12" s="54"/>
      <c r="BM12" s="55" t="s">
        <v>718</v>
      </c>
      <c r="BN12" s="55">
        <v>13.93</v>
      </c>
      <c r="BP12" s="54"/>
      <c r="BQ12" s="55" t="s">
        <v>718</v>
      </c>
      <c r="BR12" s="55">
        <v>13.93</v>
      </c>
      <c r="BT12" s="54"/>
      <c r="BU12" s="55" t="s">
        <v>693</v>
      </c>
      <c r="BV12" s="55">
        <v>2.99</v>
      </c>
      <c r="BX12" s="54"/>
      <c r="BY12" s="55" t="s">
        <v>719</v>
      </c>
      <c r="BZ12" s="55">
        <v>18.510000000000002</v>
      </c>
      <c r="CB12" s="54"/>
      <c r="CC12" s="58" t="s">
        <v>758</v>
      </c>
      <c r="CD12" s="56">
        <v>0</v>
      </c>
      <c r="CF12" s="54"/>
      <c r="CG12" s="58" t="s">
        <v>783</v>
      </c>
      <c r="CH12" s="56">
        <v>1.46</v>
      </c>
      <c r="CJ12" s="54"/>
      <c r="CK12" s="55" t="s">
        <v>717</v>
      </c>
      <c r="CL12" s="55">
        <v>9.35</v>
      </c>
      <c r="CN12" s="54"/>
      <c r="CO12" s="1" t="s">
        <v>316</v>
      </c>
      <c r="CP12" s="1" t="s">
        <v>317</v>
      </c>
      <c r="CQ12" s="90">
        <v>24.64</v>
      </c>
      <c r="CR12" s="54"/>
      <c r="CS12" s="55" t="s">
        <v>716</v>
      </c>
      <c r="CT12" s="55">
        <v>4.7699999999999996</v>
      </c>
      <c r="CV12" s="54"/>
      <c r="CW12" s="55" t="s">
        <v>717</v>
      </c>
      <c r="CX12" s="55">
        <v>9.35</v>
      </c>
      <c r="CZ12" s="54"/>
      <c r="DA12" s="55" t="s">
        <v>693</v>
      </c>
      <c r="DB12" s="55">
        <v>2.99</v>
      </c>
      <c r="DD12" s="54"/>
      <c r="DE12" s="55" t="s">
        <v>717</v>
      </c>
      <c r="DF12" s="55">
        <v>9.35</v>
      </c>
      <c r="DH12" s="54"/>
      <c r="DI12" s="55" t="s">
        <v>718</v>
      </c>
      <c r="DJ12" s="55">
        <v>13.93</v>
      </c>
      <c r="DL12" s="54"/>
      <c r="DM12" s="1" t="s">
        <v>579</v>
      </c>
      <c r="DN12" s="1" t="s">
        <v>580</v>
      </c>
      <c r="DO12" s="2">
        <v>61.1</v>
      </c>
      <c r="DP12" s="54"/>
      <c r="DQ12" s="55" t="s">
        <v>695</v>
      </c>
      <c r="DR12" s="55">
        <v>-2.14</v>
      </c>
      <c r="DT12" s="54"/>
      <c r="DU12" s="55" t="s">
        <v>702</v>
      </c>
      <c r="DV12" s="55">
        <v>-1.07</v>
      </c>
      <c r="DX12" s="54"/>
      <c r="DY12" s="55" t="s">
        <v>693</v>
      </c>
      <c r="DZ12" s="55">
        <v>2.99</v>
      </c>
      <c r="EB12" s="54"/>
      <c r="EC12" s="55" t="s">
        <v>718</v>
      </c>
      <c r="ED12" s="55">
        <v>13.93</v>
      </c>
      <c r="EF12" s="54"/>
      <c r="EG12" s="55" t="s">
        <v>718</v>
      </c>
      <c r="EH12" s="55">
        <v>13.93</v>
      </c>
      <c r="EJ12" s="54"/>
      <c r="EK12" s="55" t="s">
        <v>703</v>
      </c>
      <c r="EL12" s="55">
        <v>0</v>
      </c>
      <c r="EN12" s="54"/>
      <c r="EO12" s="58" t="s">
        <v>780</v>
      </c>
      <c r="EP12" s="56">
        <v>2.5499999999999998</v>
      </c>
      <c r="ER12" s="54"/>
      <c r="ES12" s="55" t="s">
        <v>717</v>
      </c>
      <c r="ET12" s="55">
        <v>9.35</v>
      </c>
      <c r="EV12" s="54"/>
      <c r="EW12" s="6" t="s">
        <v>444</v>
      </c>
      <c r="EX12" s="6" t="s">
        <v>445</v>
      </c>
      <c r="EY12" s="89">
        <v>7.18</v>
      </c>
      <c r="EZ12" s="54"/>
      <c r="FA12" s="1" t="s">
        <v>95</v>
      </c>
      <c r="FB12" s="58"/>
      <c r="FD12" s="54"/>
      <c r="FE12" s="5" t="s">
        <v>750</v>
      </c>
      <c r="FF12" s="61"/>
      <c r="FH12" s="54"/>
      <c r="FI12" s="5" t="s">
        <v>752</v>
      </c>
      <c r="FJ12" s="61"/>
      <c r="FL12" s="54"/>
      <c r="FM12" s="1" t="s">
        <v>899</v>
      </c>
      <c r="FN12" s="1"/>
      <c r="FP12" s="54"/>
      <c r="FT12" s="54"/>
      <c r="FU12" s="55" t="s">
        <v>707</v>
      </c>
      <c r="FX12" s="54"/>
      <c r="FY12" s="55" t="s">
        <v>722</v>
      </c>
      <c r="GB12" s="54"/>
      <c r="GC12" s="58" t="s">
        <v>780</v>
      </c>
      <c r="GD12" s="56">
        <v>2.5499999999999998</v>
      </c>
      <c r="GF12" s="54"/>
    </row>
    <row r="13" spans="1:188" ht="14.4">
      <c r="A13" s="55" t="s">
        <v>704</v>
      </c>
      <c r="B13" s="55">
        <v>8.9700000000000006</v>
      </c>
      <c r="D13" s="54"/>
      <c r="E13" s="55" t="s">
        <v>718</v>
      </c>
      <c r="F13" s="55">
        <v>13.93</v>
      </c>
      <c r="H13" s="54"/>
      <c r="I13" s="55" t="s">
        <v>694</v>
      </c>
      <c r="J13" s="55">
        <v>5.98</v>
      </c>
      <c r="L13" s="54"/>
      <c r="M13" s="55" t="s">
        <v>718</v>
      </c>
      <c r="N13" s="55">
        <v>13.93</v>
      </c>
      <c r="P13" s="54"/>
      <c r="Q13" s="56" t="s">
        <v>597</v>
      </c>
      <c r="R13" s="57">
        <v>0</v>
      </c>
      <c r="T13" s="54"/>
      <c r="U13" s="58" t="s">
        <v>51</v>
      </c>
      <c r="V13" s="59">
        <v>1.0711999999999999</v>
      </c>
      <c r="X13" s="54"/>
      <c r="Y13" s="55" t="s">
        <v>693</v>
      </c>
      <c r="AB13" s="54"/>
      <c r="AC13" s="55" t="s">
        <v>702</v>
      </c>
      <c r="AF13" s="54"/>
      <c r="AG13" s="55" t="s">
        <v>694</v>
      </c>
      <c r="AH13" s="55">
        <v>5.98</v>
      </c>
      <c r="AJ13" s="54"/>
      <c r="AK13" s="55" t="s">
        <v>694</v>
      </c>
      <c r="AL13" s="55">
        <v>5.98</v>
      </c>
      <c r="AN13" s="54"/>
      <c r="AO13" s="55" t="s">
        <v>694</v>
      </c>
      <c r="AP13" s="55">
        <v>5.98</v>
      </c>
      <c r="AR13" s="54"/>
      <c r="AS13" s="55" t="s">
        <v>694</v>
      </c>
      <c r="AT13" s="55">
        <v>5.98</v>
      </c>
      <c r="AV13" s="54"/>
      <c r="AW13" s="55" t="s">
        <v>694</v>
      </c>
      <c r="AX13" s="55">
        <v>5.98</v>
      </c>
      <c r="AZ13" s="54"/>
      <c r="BA13" s="55" t="s">
        <v>694</v>
      </c>
      <c r="BB13" s="55">
        <v>5.98</v>
      </c>
      <c r="BD13" s="54"/>
      <c r="BE13" s="55" t="s">
        <v>694</v>
      </c>
      <c r="BF13" s="55">
        <v>5.98</v>
      </c>
      <c r="BH13" s="54"/>
      <c r="BI13" s="55" t="s">
        <v>694</v>
      </c>
      <c r="BJ13" s="55">
        <v>5.98</v>
      </c>
      <c r="BL13" s="54"/>
      <c r="BM13" s="55" t="s">
        <v>694</v>
      </c>
      <c r="BN13" s="55">
        <v>5.98</v>
      </c>
      <c r="BP13" s="54"/>
      <c r="BQ13" s="55" t="s">
        <v>694</v>
      </c>
      <c r="BR13" s="55">
        <v>5.98</v>
      </c>
      <c r="BT13" s="54"/>
      <c r="BU13" s="55" t="s">
        <v>718</v>
      </c>
      <c r="BV13" s="55">
        <v>13.93</v>
      </c>
      <c r="BX13" s="54"/>
      <c r="BY13" s="55" t="s">
        <v>704</v>
      </c>
      <c r="BZ13" s="55">
        <v>8.9700000000000006</v>
      </c>
      <c r="CB13" s="54"/>
      <c r="CC13" s="58" t="s">
        <v>759</v>
      </c>
      <c r="CD13" s="56">
        <v>0</v>
      </c>
      <c r="CF13" s="54"/>
      <c r="CG13" s="58" t="s">
        <v>780</v>
      </c>
      <c r="CH13" s="56">
        <v>2.5499999999999998</v>
      </c>
      <c r="CJ13" s="54"/>
      <c r="CK13" s="55" t="s">
        <v>693</v>
      </c>
      <c r="CL13" s="55">
        <v>2.99</v>
      </c>
      <c r="CN13" s="54"/>
      <c r="CO13" s="1" t="s">
        <v>314</v>
      </c>
      <c r="CP13" s="1" t="s">
        <v>315</v>
      </c>
      <c r="CQ13" s="90">
        <v>33.22</v>
      </c>
      <c r="CR13" s="54"/>
      <c r="CS13" s="55" t="s">
        <v>703</v>
      </c>
      <c r="CT13" s="55">
        <v>0</v>
      </c>
      <c r="CV13" s="54"/>
      <c r="CW13" s="55" t="s">
        <v>693</v>
      </c>
      <c r="CX13" s="55">
        <v>2.99</v>
      </c>
      <c r="CZ13" s="54"/>
      <c r="DA13" s="55" t="s">
        <v>718</v>
      </c>
      <c r="DB13" s="55">
        <v>13.93</v>
      </c>
      <c r="DD13" s="54"/>
      <c r="DE13" s="55" t="s">
        <v>693</v>
      </c>
      <c r="DF13" s="55">
        <v>2.99</v>
      </c>
      <c r="DH13" s="54"/>
      <c r="DI13" s="55" t="s">
        <v>694</v>
      </c>
      <c r="DJ13" s="55">
        <v>5.98</v>
      </c>
      <c r="DL13" s="54"/>
      <c r="DM13" s="1" t="s">
        <v>583</v>
      </c>
      <c r="DN13" s="1" t="s">
        <v>584</v>
      </c>
      <c r="DO13" s="2">
        <v>34.5</v>
      </c>
      <c r="DP13" s="54"/>
      <c r="DQ13" s="55" t="s">
        <v>715</v>
      </c>
      <c r="DR13" s="55">
        <v>2.11</v>
      </c>
      <c r="DT13" s="54"/>
      <c r="DU13" s="55" t="s">
        <v>716</v>
      </c>
      <c r="DV13" s="55">
        <v>4.7699999999999996</v>
      </c>
      <c r="DX13" s="54"/>
      <c r="DY13" s="55" t="s">
        <v>718</v>
      </c>
      <c r="DZ13" s="55">
        <v>13.93</v>
      </c>
      <c r="EB13" s="54"/>
      <c r="EC13" s="55" t="s">
        <v>694</v>
      </c>
      <c r="ED13" s="55">
        <v>5.98</v>
      </c>
      <c r="EF13" s="54"/>
      <c r="EG13" s="55" t="s">
        <v>694</v>
      </c>
      <c r="EH13" s="55">
        <v>5.98</v>
      </c>
      <c r="EJ13" s="54"/>
      <c r="EK13" s="55" t="s">
        <v>717</v>
      </c>
      <c r="EL13" s="55">
        <v>9.35</v>
      </c>
      <c r="EN13" s="54"/>
      <c r="EO13" s="189" t="s">
        <v>839</v>
      </c>
      <c r="EP13" s="189"/>
      <c r="ER13" s="54"/>
      <c r="ES13" s="55" t="s">
        <v>693</v>
      </c>
      <c r="ET13" s="55">
        <v>2.99</v>
      </c>
      <c r="EV13" s="54"/>
      <c r="EW13" s="1" t="s">
        <v>467</v>
      </c>
      <c r="EX13" s="1" t="s">
        <v>468</v>
      </c>
      <c r="EY13" s="2">
        <v>11.32</v>
      </c>
      <c r="EZ13" s="54"/>
      <c r="FA13" s="1" t="s">
        <v>96</v>
      </c>
      <c r="FB13" s="58"/>
      <c r="FD13" s="54"/>
      <c r="FE13" s="5" t="s">
        <v>751</v>
      </c>
      <c r="FF13" s="61"/>
      <c r="FH13" s="54"/>
      <c r="FI13" s="189" t="s">
        <v>778</v>
      </c>
      <c r="FJ13" s="189"/>
      <c r="FL13" s="54"/>
      <c r="FM13" s="1" t="s">
        <v>900</v>
      </c>
      <c r="FN13" s="1"/>
      <c r="FP13" s="54"/>
      <c r="FT13" s="54"/>
      <c r="FU13" s="55" t="s">
        <v>696</v>
      </c>
      <c r="FX13" s="54"/>
      <c r="FY13" s="55" t="s">
        <v>709</v>
      </c>
      <c r="GB13" s="54"/>
      <c r="GC13" s="189" t="s">
        <v>839</v>
      </c>
      <c r="GD13" s="189"/>
      <c r="GF13" s="54"/>
    </row>
    <row r="14" spans="1:188" ht="14.4">
      <c r="A14" s="55" t="s">
        <v>720</v>
      </c>
      <c r="B14" s="55">
        <v>23.09</v>
      </c>
      <c r="D14" s="54"/>
      <c r="E14" s="55" t="s">
        <v>694</v>
      </c>
      <c r="F14" s="55">
        <v>5.98</v>
      </c>
      <c r="H14" s="54"/>
      <c r="I14" s="55" t="s">
        <v>719</v>
      </c>
      <c r="J14" s="55">
        <v>18.510000000000002</v>
      </c>
      <c r="L14" s="54"/>
      <c r="M14" s="55" t="s">
        <v>694</v>
      </c>
      <c r="N14" s="55">
        <v>5.98</v>
      </c>
      <c r="P14" s="54"/>
      <c r="Q14" s="56" t="s">
        <v>594</v>
      </c>
      <c r="R14" s="57">
        <v>0</v>
      </c>
      <c r="T14" s="54"/>
      <c r="U14" s="58" t="s">
        <v>52</v>
      </c>
      <c r="V14" s="59">
        <v>2.1423999999999999</v>
      </c>
      <c r="X14" s="54"/>
      <c r="Y14" s="55" t="s">
        <v>718</v>
      </c>
      <c r="AB14" s="54"/>
      <c r="AC14" s="55" t="s">
        <v>716</v>
      </c>
      <c r="AF14" s="54"/>
      <c r="AG14" s="55" t="s">
        <v>719</v>
      </c>
      <c r="AH14" s="55">
        <v>18.510000000000002</v>
      </c>
      <c r="AJ14" s="54"/>
      <c r="AK14" s="55" t="s">
        <v>719</v>
      </c>
      <c r="AL14" s="55">
        <v>18.510000000000002</v>
      </c>
      <c r="AN14" s="54"/>
      <c r="AO14" s="55" t="s">
        <v>719</v>
      </c>
      <c r="AP14" s="55">
        <v>18.510000000000002</v>
      </c>
      <c r="AR14" s="54"/>
      <c r="AS14" s="55" t="s">
        <v>719</v>
      </c>
      <c r="AT14" s="55">
        <v>18.510000000000002</v>
      </c>
      <c r="AV14" s="54"/>
      <c r="AW14" s="55" t="s">
        <v>719</v>
      </c>
      <c r="AX14" s="55">
        <v>18.510000000000002</v>
      </c>
      <c r="AZ14" s="54"/>
      <c r="BA14" s="55" t="s">
        <v>719</v>
      </c>
      <c r="BB14" s="55">
        <v>18.510000000000002</v>
      </c>
      <c r="BD14" s="54"/>
      <c r="BE14" s="55" t="s">
        <v>719</v>
      </c>
      <c r="BF14" s="55">
        <v>18.510000000000002</v>
      </c>
      <c r="BH14" s="54"/>
      <c r="BI14" s="55" t="s">
        <v>719</v>
      </c>
      <c r="BJ14" s="55">
        <v>18.510000000000002</v>
      </c>
      <c r="BL14" s="54"/>
      <c r="BM14" s="55" t="s">
        <v>719</v>
      </c>
      <c r="BN14" s="55">
        <v>18.510000000000002</v>
      </c>
      <c r="BP14" s="54"/>
      <c r="BQ14" s="55" t="s">
        <v>719</v>
      </c>
      <c r="BR14" s="55">
        <v>18.510000000000002</v>
      </c>
      <c r="BT14" s="54"/>
      <c r="BU14" s="55" t="s">
        <v>694</v>
      </c>
      <c r="BV14" s="55">
        <v>5.98</v>
      </c>
      <c r="BX14" s="54"/>
      <c r="BY14" s="55" t="s">
        <v>720</v>
      </c>
      <c r="BZ14" s="55">
        <v>23.09</v>
      </c>
      <c r="CB14" s="54"/>
      <c r="CC14" s="58" t="s">
        <v>760</v>
      </c>
      <c r="CD14" s="56">
        <v>4.18</v>
      </c>
      <c r="CF14" s="54"/>
      <c r="CG14" s="189" t="s">
        <v>839</v>
      </c>
      <c r="CH14" s="189"/>
      <c r="CJ14" s="54"/>
      <c r="CK14" s="55" t="s">
        <v>718</v>
      </c>
      <c r="CL14" s="55">
        <v>13.93</v>
      </c>
      <c r="CN14" s="54"/>
      <c r="CR14" s="54"/>
      <c r="CS14" s="55" t="s">
        <v>717</v>
      </c>
      <c r="CT14" s="55">
        <v>9.35</v>
      </c>
      <c r="CV14" s="54"/>
      <c r="CW14" s="55" t="s">
        <v>718</v>
      </c>
      <c r="CX14" s="55">
        <v>13.93</v>
      </c>
      <c r="CZ14" s="54"/>
      <c r="DA14" s="55" t="s">
        <v>694</v>
      </c>
      <c r="DB14" s="55">
        <v>5.98</v>
      </c>
      <c r="DD14" s="54"/>
      <c r="DE14" s="55" t="s">
        <v>718</v>
      </c>
      <c r="DF14" s="55">
        <v>13.93</v>
      </c>
      <c r="DH14" s="54"/>
      <c r="DI14" s="55" t="s">
        <v>719</v>
      </c>
      <c r="DJ14" s="55">
        <v>18.510000000000002</v>
      </c>
      <c r="DL14" s="54"/>
      <c r="DM14" s="1" t="s">
        <v>285</v>
      </c>
      <c r="DN14" s="1" t="s">
        <v>286</v>
      </c>
      <c r="DO14" s="2">
        <v>92.73</v>
      </c>
      <c r="DP14" s="54"/>
      <c r="DQ14" s="55" t="s">
        <v>702</v>
      </c>
      <c r="DR14" s="55">
        <v>-1.07</v>
      </c>
      <c r="DT14" s="54"/>
      <c r="DU14" s="55" t="s">
        <v>703</v>
      </c>
      <c r="DV14" s="55">
        <v>0</v>
      </c>
      <c r="DX14" s="54"/>
      <c r="DY14" s="55" t="s">
        <v>694</v>
      </c>
      <c r="DZ14" s="55">
        <v>5.98</v>
      </c>
      <c r="EB14" s="54"/>
      <c r="EC14" s="55" t="s">
        <v>719</v>
      </c>
      <c r="ED14" s="55">
        <v>18.510000000000002</v>
      </c>
      <c r="EF14" s="54"/>
      <c r="EG14" s="55" t="s">
        <v>719</v>
      </c>
      <c r="EH14" s="55">
        <v>18.510000000000002</v>
      </c>
      <c r="EJ14" s="54"/>
      <c r="EK14" s="55" t="s">
        <v>693</v>
      </c>
      <c r="EL14" s="55">
        <v>2.99</v>
      </c>
      <c r="EN14" s="54"/>
      <c r="EO14" s="58" t="s">
        <v>863</v>
      </c>
      <c r="EP14" s="62">
        <v>3.17</v>
      </c>
      <c r="ER14" s="54"/>
      <c r="ES14" s="55" t="s">
        <v>718</v>
      </c>
      <c r="ET14" s="55">
        <v>13.93</v>
      </c>
      <c r="EV14" s="54"/>
      <c r="EW14" s="1" t="s">
        <v>457</v>
      </c>
      <c r="EX14" s="1" t="s">
        <v>458</v>
      </c>
      <c r="EY14" s="2">
        <v>15.44</v>
      </c>
      <c r="EZ14" s="54"/>
      <c r="FA14" s="1" t="s">
        <v>97</v>
      </c>
      <c r="FB14" s="58"/>
      <c r="FD14" s="54"/>
      <c r="FE14" s="5" t="s">
        <v>752</v>
      </c>
      <c r="FF14" s="61"/>
      <c r="FH14" s="54"/>
      <c r="FI14" s="5" t="s">
        <v>781</v>
      </c>
      <c r="FJ14" s="56"/>
      <c r="FL14" s="54"/>
      <c r="FP14" s="54"/>
      <c r="FT14" s="54"/>
      <c r="FU14" s="55" t="s">
        <v>697</v>
      </c>
      <c r="FX14" s="54"/>
      <c r="FY14" s="55" t="s">
        <v>710</v>
      </c>
      <c r="GB14" s="54"/>
      <c r="GC14" s="58" t="s">
        <v>863</v>
      </c>
      <c r="GD14" s="62">
        <v>3.17</v>
      </c>
      <c r="GF14" s="54"/>
    </row>
    <row r="15" spans="1:188" ht="14.4">
      <c r="A15" s="55" t="s">
        <v>705</v>
      </c>
      <c r="B15" s="55">
        <v>11.96</v>
      </c>
      <c r="D15" s="54"/>
      <c r="E15" s="55" t="s">
        <v>719</v>
      </c>
      <c r="F15" s="55">
        <v>18.510000000000002</v>
      </c>
      <c r="H15" s="54"/>
      <c r="I15" s="55" t="s">
        <v>704</v>
      </c>
      <c r="J15" s="55">
        <v>8.9700000000000006</v>
      </c>
      <c r="L15" s="54"/>
      <c r="M15" s="55" t="s">
        <v>719</v>
      </c>
      <c r="N15" s="55">
        <v>18.510000000000002</v>
      </c>
      <c r="P15" s="54"/>
      <c r="Q15" s="63" t="s">
        <v>674</v>
      </c>
      <c r="R15" s="59">
        <v>0</v>
      </c>
      <c r="T15" s="54"/>
      <c r="U15" s="58" t="s">
        <v>53</v>
      </c>
      <c r="V15" s="59">
        <v>3.2135999999999996</v>
      </c>
      <c r="X15" s="54"/>
      <c r="Y15" s="55" t="s">
        <v>694</v>
      </c>
      <c r="AB15" s="54"/>
      <c r="AC15" s="55" t="s">
        <v>703</v>
      </c>
      <c r="AF15" s="54"/>
      <c r="AG15" s="55" t="s">
        <v>704</v>
      </c>
      <c r="AH15" s="55">
        <v>8.9700000000000006</v>
      </c>
      <c r="AJ15" s="54"/>
      <c r="AK15" s="55" t="s">
        <v>704</v>
      </c>
      <c r="AL15" s="55">
        <v>8.9700000000000006</v>
      </c>
      <c r="AN15" s="54"/>
      <c r="AO15" s="55" t="s">
        <v>704</v>
      </c>
      <c r="AP15" s="55">
        <v>8.9700000000000006</v>
      </c>
      <c r="AR15" s="54"/>
      <c r="AS15" s="55" t="s">
        <v>704</v>
      </c>
      <c r="AT15" s="55">
        <v>8.9700000000000006</v>
      </c>
      <c r="AV15" s="54"/>
      <c r="AW15" s="55" t="s">
        <v>704</v>
      </c>
      <c r="AX15" s="55">
        <v>8.9700000000000006</v>
      </c>
      <c r="AZ15" s="54"/>
      <c r="BA15" s="55" t="s">
        <v>704</v>
      </c>
      <c r="BB15" s="55">
        <v>8.9700000000000006</v>
      </c>
      <c r="BD15" s="54"/>
      <c r="BE15" s="55" t="s">
        <v>704</v>
      </c>
      <c r="BF15" s="55">
        <v>8.9700000000000006</v>
      </c>
      <c r="BH15" s="54"/>
      <c r="BI15" s="55" t="s">
        <v>704</v>
      </c>
      <c r="BJ15" s="55">
        <v>8.9700000000000006</v>
      </c>
      <c r="BL15" s="54"/>
      <c r="BM15" s="55" t="s">
        <v>704</v>
      </c>
      <c r="BN15" s="55">
        <v>8.9700000000000006</v>
      </c>
      <c r="BP15" s="54"/>
      <c r="BQ15" s="55" t="s">
        <v>704</v>
      </c>
      <c r="BR15" s="55">
        <v>8.9700000000000006</v>
      </c>
      <c r="BT15" s="54"/>
      <c r="BU15" s="55" t="s">
        <v>719</v>
      </c>
      <c r="BV15" s="55">
        <v>18.510000000000002</v>
      </c>
      <c r="BX15" s="54"/>
      <c r="BY15" s="55" t="s">
        <v>705</v>
      </c>
      <c r="BZ15" s="55">
        <v>11.96</v>
      </c>
      <c r="CB15" s="54"/>
      <c r="CC15" s="58" t="s">
        <v>761</v>
      </c>
      <c r="CD15" s="58">
        <v>4.18</v>
      </c>
      <c r="CF15" s="54"/>
      <c r="CG15" s="58" t="s">
        <v>863</v>
      </c>
      <c r="CH15" s="62">
        <v>3.17</v>
      </c>
      <c r="CJ15" s="54"/>
      <c r="CK15" s="55" t="s">
        <v>694</v>
      </c>
      <c r="CL15" s="55">
        <v>5.98</v>
      </c>
      <c r="CN15" s="54"/>
      <c r="CR15" s="54"/>
      <c r="CS15" s="55" t="s">
        <v>693</v>
      </c>
      <c r="CT15" s="55">
        <v>2.99</v>
      </c>
      <c r="CV15" s="54"/>
      <c r="CW15" s="55" t="s">
        <v>694</v>
      </c>
      <c r="CX15" s="55">
        <v>5.98</v>
      </c>
      <c r="CZ15" s="54"/>
      <c r="DA15" s="55" t="s">
        <v>719</v>
      </c>
      <c r="DB15" s="55">
        <v>18.510000000000002</v>
      </c>
      <c r="DD15" s="54"/>
      <c r="DE15" s="55" t="s">
        <v>694</v>
      </c>
      <c r="DF15" s="55">
        <v>5.98</v>
      </c>
      <c r="DH15" s="54"/>
      <c r="DI15" s="55" t="s">
        <v>704</v>
      </c>
      <c r="DJ15" s="55">
        <v>8.9700000000000006</v>
      </c>
      <c r="DL15" s="54"/>
      <c r="DM15" s="1" t="s">
        <v>548</v>
      </c>
      <c r="DN15" s="1" t="s">
        <v>549</v>
      </c>
      <c r="DO15" s="2">
        <v>54.18</v>
      </c>
      <c r="DP15" s="54"/>
      <c r="DQ15" s="55" t="s">
        <v>716</v>
      </c>
      <c r="DR15" s="55">
        <v>4.7699999999999996</v>
      </c>
      <c r="DT15" s="54"/>
      <c r="DU15" s="55" t="s">
        <v>717</v>
      </c>
      <c r="DV15" s="55">
        <v>9.35</v>
      </c>
      <c r="DX15" s="54"/>
      <c r="DY15" s="55" t="s">
        <v>719</v>
      </c>
      <c r="DZ15" s="55">
        <v>18.510000000000002</v>
      </c>
      <c r="EB15" s="54"/>
      <c r="EC15" s="55" t="s">
        <v>704</v>
      </c>
      <c r="ED15" s="55">
        <v>8.9700000000000006</v>
      </c>
      <c r="EF15" s="54"/>
      <c r="EG15" s="55" t="s">
        <v>704</v>
      </c>
      <c r="EH15" s="55">
        <v>8.9700000000000006</v>
      </c>
      <c r="EJ15" s="54"/>
      <c r="EK15" s="55" t="s">
        <v>718</v>
      </c>
      <c r="EL15" s="55">
        <v>13.93</v>
      </c>
      <c r="EN15" s="54"/>
      <c r="EO15" s="191" t="s">
        <v>734</v>
      </c>
      <c r="EP15" s="191"/>
      <c r="ER15" s="54"/>
      <c r="ES15" s="55" t="s">
        <v>694</v>
      </c>
      <c r="ET15" s="55">
        <v>5.98</v>
      </c>
      <c r="EV15" s="54"/>
      <c r="EW15" s="6" t="s">
        <v>442</v>
      </c>
      <c r="EX15" s="6" t="s">
        <v>443</v>
      </c>
      <c r="EY15" s="89">
        <v>44</v>
      </c>
      <c r="EZ15" s="54"/>
      <c r="FA15" s="1" t="s">
        <v>98</v>
      </c>
      <c r="FB15" s="58"/>
      <c r="FD15" s="54"/>
      <c r="FE15" s="189" t="s">
        <v>778</v>
      </c>
      <c r="FF15" s="189"/>
      <c r="FH15" s="54"/>
      <c r="FI15" s="5" t="s">
        <v>782</v>
      </c>
      <c r="FJ15" s="56"/>
      <c r="FL15" s="54"/>
      <c r="FP15" s="54"/>
      <c r="FT15" s="54"/>
      <c r="FU15" s="55" t="s">
        <v>698</v>
      </c>
      <c r="FX15" s="54"/>
      <c r="FY15" s="55" t="s">
        <v>711</v>
      </c>
      <c r="GB15" s="54"/>
      <c r="GF15" s="54"/>
    </row>
    <row r="16" spans="1:188" ht="14.4">
      <c r="A16" s="55" t="s">
        <v>560</v>
      </c>
      <c r="B16" s="67">
        <v>-6.4271999999999991</v>
      </c>
      <c r="D16" s="54"/>
      <c r="E16" s="55" t="s">
        <v>704</v>
      </c>
      <c r="F16" s="55">
        <v>8.9700000000000006</v>
      </c>
      <c r="H16" s="54"/>
      <c r="I16" s="55" t="s">
        <v>720</v>
      </c>
      <c r="J16" s="55">
        <v>23.09</v>
      </c>
      <c r="L16" s="54"/>
      <c r="M16" s="55" t="s">
        <v>704</v>
      </c>
      <c r="N16" s="55">
        <v>8.9700000000000006</v>
      </c>
      <c r="P16" s="54"/>
      <c r="Q16" s="58" t="s">
        <v>589</v>
      </c>
      <c r="R16" s="59">
        <v>0</v>
      </c>
      <c r="T16" s="54"/>
      <c r="U16" s="58" t="s">
        <v>54</v>
      </c>
      <c r="V16" s="59">
        <v>6.4271999999999991</v>
      </c>
      <c r="X16" s="54"/>
      <c r="Y16" s="55" t="s">
        <v>560</v>
      </c>
      <c r="AB16" s="54"/>
      <c r="AC16" s="55" t="s">
        <v>717</v>
      </c>
      <c r="AF16" s="54"/>
      <c r="AG16" s="55" t="s">
        <v>720</v>
      </c>
      <c r="AH16" s="55">
        <v>23.09</v>
      </c>
      <c r="AJ16" s="54"/>
      <c r="AK16" s="55" t="s">
        <v>720</v>
      </c>
      <c r="AL16" s="55">
        <v>23.09</v>
      </c>
      <c r="AN16" s="54"/>
      <c r="AO16" s="55" t="s">
        <v>720</v>
      </c>
      <c r="AP16" s="55">
        <v>23.09</v>
      </c>
      <c r="AR16" s="54"/>
      <c r="AS16" s="55" t="s">
        <v>720</v>
      </c>
      <c r="AT16" s="55">
        <v>23.09</v>
      </c>
      <c r="AV16" s="54"/>
      <c r="AW16" s="55" t="s">
        <v>720</v>
      </c>
      <c r="AX16" s="55">
        <v>23.09</v>
      </c>
      <c r="AZ16" s="54"/>
      <c r="BA16" s="55" t="s">
        <v>720</v>
      </c>
      <c r="BB16" s="55">
        <v>23.09</v>
      </c>
      <c r="BD16" s="54"/>
      <c r="BE16" s="55" t="s">
        <v>720</v>
      </c>
      <c r="BF16" s="55">
        <v>23.09</v>
      </c>
      <c r="BH16" s="54"/>
      <c r="BI16" s="55" t="s">
        <v>720</v>
      </c>
      <c r="BJ16" s="55">
        <v>23.09</v>
      </c>
      <c r="BL16" s="54"/>
      <c r="BM16" s="55" t="s">
        <v>720</v>
      </c>
      <c r="BN16" s="55">
        <v>23.09</v>
      </c>
      <c r="BP16" s="54"/>
      <c r="BQ16" s="55" t="s">
        <v>720</v>
      </c>
      <c r="BR16" s="55">
        <v>23.09</v>
      </c>
      <c r="BT16" s="54"/>
      <c r="BU16" s="55" t="s">
        <v>704</v>
      </c>
      <c r="BV16" s="55">
        <v>8.9700000000000006</v>
      </c>
      <c r="BX16" s="54"/>
      <c r="BY16" s="55" t="s">
        <v>560</v>
      </c>
      <c r="BZ16" s="67">
        <v>-6.4271999999999991</v>
      </c>
      <c r="CB16" s="54"/>
      <c r="CC16" s="58" t="s">
        <v>765</v>
      </c>
      <c r="CD16" s="62">
        <v>0</v>
      </c>
      <c r="CF16" s="54"/>
      <c r="CJ16" s="54"/>
      <c r="CK16" s="55" t="s">
        <v>719</v>
      </c>
      <c r="CL16" s="55">
        <v>18.510000000000002</v>
      </c>
      <c r="CN16" s="54"/>
      <c r="CR16" s="54"/>
      <c r="CS16" s="55" t="s">
        <v>718</v>
      </c>
      <c r="CT16" s="55">
        <v>13.93</v>
      </c>
      <c r="CV16" s="54"/>
      <c r="CW16" s="55" t="s">
        <v>719</v>
      </c>
      <c r="CX16" s="55">
        <v>18.510000000000002</v>
      </c>
      <c r="CZ16" s="54"/>
      <c r="DA16" s="55" t="s">
        <v>704</v>
      </c>
      <c r="DB16" s="55">
        <v>8.9700000000000006</v>
      </c>
      <c r="DD16" s="54"/>
      <c r="DE16" s="55" t="s">
        <v>719</v>
      </c>
      <c r="DF16" s="55">
        <v>18.510000000000002</v>
      </c>
      <c r="DH16" s="54"/>
      <c r="DI16" s="55" t="s">
        <v>720</v>
      </c>
      <c r="DJ16" s="55">
        <v>23.09</v>
      </c>
      <c r="DL16" s="54"/>
      <c r="DM16" s="1" t="s">
        <v>564</v>
      </c>
      <c r="DN16" s="1" t="s">
        <v>565</v>
      </c>
      <c r="DO16" s="2">
        <v>44.76</v>
      </c>
      <c r="DP16" s="54"/>
      <c r="DQ16" s="55" t="s">
        <v>703</v>
      </c>
      <c r="DR16" s="55">
        <v>0</v>
      </c>
      <c r="DT16" s="54"/>
      <c r="DU16" s="55" t="s">
        <v>693</v>
      </c>
      <c r="DV16" s="55">
        <v>2.99</v>
      </c>
      <c r="DX16" s="54"/>
      <c r="DY16" s="55" t="s">
        <v>704</v>
      </c>
      <c r="DZ16" s="55">
        <v>8.9700000000000006</v>
      </c>
      <c r="EB16" s="54"/>
      <c r="EC16" s="55" t="s">
        <v>720</v>
      </c>
      <c r="ED16" s="55">
        <v>23.09</v>
      </c>
      <c r="EF16" s="54"/>
      <c r="EG16" s="55" t="s">
        <v>720</v>
      </c>
      <c r="EH16" s="55">
        <v>23.09</v>
      </c>
      <c r="EJ16" s="54"/>
      <c r="EK16" s="55" t="s">
        <v>694</v>
      </c>
      <c r="EL16" s="55">
        <v>5.98</v>
      </c>
      <c r="EN16" s="54"/>
      <c r="EO16" s="64" t="s">
        <v>648</v>
      </c>
      <c r="EP16" s="64">
        <v>1.19</v>
      </c>
      <c r="ER16" s="54"/>
      <c r="ES16" s="55" t="s">
        <v>719</v>
      </c>
      <c r="ET16" s="55">
        <v>18.510000000000002</v>
      </c>
      <c r="EV16" s="54"/>
      <c r="EW16" s="1" t="s">
        <v>904</v>
      </c>
      <c r="EX16" s="1" t="s">
        <v>903</v>
      </c>
      <c r="EY16" s="89">
        <v>45.76</v>
      </c>
      <c r="EZ16" s="54"/>
      <c r="FA16" s="1" t="s">
        <v>180</v>
      </c>
      <c r="FB16" s="58"/>
      <c r="FD16" s="54"/>
      <c r="FE16" s="5" t="s">
        <v>781</v>
      </c>
      <c r="FF16" s="56"/>
      <c r="FH16" s="54"/>
      <c r="FI16" s="190" t="s">
        <v>835</v>
      </c>
      <c r="FJ16" s="190"/>
      <c r="FL16" s="54"/>
      <c r="FP16" s="54"/>
      <c r="FT16" s="54"/>
      <c r="FU16" s="55" t="s">
        <v>699</v>
      </c>
      <c r="FX16" s="54"/>
      <c r="FY16" s="55" t="s">
        <v>712</v>
      </c>
      <c r="GB16" s="54"/>
      <c r="GF16" s="54"/>
    </row>
    <row r="17" spans="1:188" ht="14.4">
      <c r="A17" s="58" t="s">
        <v>542</v>
      </c>
      <c r="B17" s="62">
        <v>3.9527279999999996</v>
      </c>
      <c r="D17" s="54"/>
      <c r="E17" s="55" t="s">
        <v>720</v>
      </c>
      <c r="F17" s="55">
        <v>23.09</v>
      </c>
      <c r="H17" s="54"/>
      <c r="I17" s="55" t="s">
        <v>705</v>
      </c>
      <c r="J17" s="55">
        <v>11.96</v>
      </c>
      <c r="L17" s="54"/>
      <c r="M17" s="55" t="s">
        <v>720</v>
      </c>
      <c r="N17" s="55">
        <v>23.09</v>
      </c>
      <c r="P17" s="54"/>
      <c r="Q17" s="58" t="s">
        <v>586</v>
      </c>
      <c r="R17" s="59">
        <v>0</v>
      </c>
      <c r="T17" s="54"/>
      <c r="U17" s="58" t="s">
        <v>55</v>
      </c>
      <c r="V17" s="59">
        <v>8.5695999999999994</v>
      </c>
      <c r="X17" s="54"/>
      <c r="Y17" s="58" t="s">
        <v>542</v>
      </c>
      <c r="AB17" s="54"/>
      <c r="AC17" s="55" t="s">
        <v>693</v>
      </c>
      <c r="AF17" s="54"/>
      <c r="AG17" s="55" t="s">
        <v>705</v>
      </c>
      <c r="AH17" s="55">
        <v>11.96</v>
      </c>
      <c r="AJ17" s="54"/>
      <c r="AK17" s="55" t="s">
        <v>705</v>
      </c>
      <c r="AL17" s="55">
        <v>11.96</v>
      </c>
      <c r="AN17" s="54"/>
      <c r="AO17" s="55" t="s">
        <v>705</v>
      </c>
      <c r="AP17" s="55">
        <v>11.96</v>
      </c>
      <c r="AR17" s="54"/>
      <c r="AS17" s="55" t="s">
        <v>705</v>
      </c>
      <c r="AT17" s="55">
        <v>11.96</v>
      </c>
      <c r="AV17" s="54"/>
      <c r="AW17" s="55" t="s">
        <v>705</v>
      </c>
      <c r="AX17" s="55">
        <v>11.96</v>
      </c>
      <c r="AZ17" s="54"/>
      <c r="BA17" s="55" t="s">
        <v>705</v>
      </c>
      <c r="BB17" s="55">
        <v>11.96</v>
      </c>
      <c r="BD17" s="54"/>
      <c r="BE17" s="55" t="s">
        <v>705</v>
      </c>
      <c r="BF17" s="55">
        <v>11.96</v>
      </c>
      <c r="BH17" s="54"/>
      <c r="BI17" s="55" t="s">
        <v>705</v>
      </c>
      <c r="BJ17" s="55">
        <v>11.96</v>
      </c>
      <c r="BL17" s="54"/>
      <c r="BM17" s="55" t="s">
        <v>705</v>
      </c>
      <c r="BN17" s="55">
        <v>11.96</v>
      </c>
      <c r="BP17" s="54"/>
      <c r="BQ17" s="55" t="s">
        <v>705</v>
      </c>
      <c r="BR17" s="55">
        <v>11.96</v>
      </c>
      <c r="BT17" s="54"/>
      <c r="BU17" s="55" t="s">
        <v>720</v>
      </c>
      <c r="BV17" s="55">
        <v>23.09</v>
      </c>
      <c r="BX17" s="54"/>
      <c r="BY17" s="58" t="s">
        <v>542</v>
      </c>
      <c r="BZ17" s="62">
        <v>3.9527279999999996</v>
      </c>
      <c r="CB17" s="54"/>
      <c r="CC17" s="58" t="s">
        <v>766</v>
      </c>
      <c r="CD17" s="58">
        <v>0</v>
      </c>
      <c r="CF17" s="54"/>
      <c r="CJ17" s="54"/>
      <c r="CK17" s="55" t="s">
        <v>704</v>
      </c>
      <c r="CL17" s="55">
        <v>8.9700000000000006</v>
      </c>
      <c r="CN17" s="54"/>
      <c r="CR17" s="54"/>
      <c r="CS17" s="55" t="s">
        <v>694</v>
      </c>
      <c r="CT17" s="55">
        <v>5.98</v>
      </c>
      <c r="CV17" s="54"/>
      <c r="CW17" s="55" t="s">
        <v>704</v>
      </c>
      <c r="CX17" s="55">
        <v>8.9700000000000006</v>
      </c>
      <c r="CZ17" s="54"/>
      <c r="DA17" s="55" t="s">
        <v>720</v>
      </c>
      <c r="DB17" s="55">
        <v>23.09</v>
      </c>
      <c r="DD17" s="54"/>
      <c r="DE17" s="55" t="s">
        <v>704</v>
      </c>
      <c r="DF17" s="55">
        <v>8.9700000000000006</v>
      </c>
      <c r="DH17" s="54"/>
      <c r="DI17" s="55" t="s">
        <v>705</v>
      </c>
      <c r="DJ17" s="55">
        <v>11.96</v>
      </c>
      <c r="DL17" s="54"/>
      <c r="DM17" s="189" t="s">
        <v>735</v>
      </c>
      <c r="DN17" s="189"/>
      <c r="DP17" s="54"/>
      <c r="DQ17" s="55" t="s">
        <v>717</v>
      </c>
      <c r="DR17" s="55">
        <v>9.35</v>
      </c>
      <c r="DT17" s="54"/>
      <c r="DU17" s="55" t="s">
        <v>718</v>
      </c>
      <c r="DV17" s="55">
        <v>13.93</v>
      </c>
      <c r="DX17" s="54"/>
      <c r="DY17" s="55" t="s">
        <v>720</v>
      </c>
      <c r="DZ17" s="55">
        <v>23.09</v>
      </c>
      <c r="EB17" s="54"/>
      <c r="EC17" s="55" t="s">
        <v>705</v>
      </c>
      <c r="ED17" s="55">
        <v>11.96</v>
      </c>
      <c r="EF17" s="54"/>
      <c r="EG17" s="55" t="s">
        <v>705</v>
      </c>
      <c r="EH17" s="55">
        <v>11.96</v>
      </c>
      <c r="EJ17" s="54"/>
      <c r="EK17" s="55" t="s">
        <v>719</v>
      </c>
      <c r="EL17" s="55">
        <v>18.510000000000002</v>
      </c>
      <c r="EN17" s="54"/>
      <c r="EO17" s="64" t="s">
        <v>644</v>
      </c>
      <c r="EP17" s="64"/>
      <c r="ER17" s="54"/>
      <c r="ES17" s="55" t="s">
        <v>704</v>
      </c>
      <c r="ET17" s="55">
        <v>8.9700000000000006</v>
      </c>
      <c r="EV17" s="54"/>
      <c r="EW17" s="189" t="s">
        <v>736</v>
      </c>
      <c r="EX17" s="189"/>
      <c r="EZ17" s="54"/>
      <c r="FA17" s="1" t="s">
        <v>99</v>
      </c>
      <c r="FB17" s="58"/>
      <c r="FD17" s="54"/>
      <c r="FE17" s="5" t="s">
        <v>782</v>
      </c>
      <c r="FF17" s="56"/>
      <c r="FH17" s="54"/>
      <c r="FI17" s="1" t="s">
        <v>690</v>
      </c>
      <c r="FJ17" s="3"/>
      <c r="FL17" s="54"/>
      <c r="FP17" s="54"/>
      <c r="FT17" s="54"/>
      <c r="FU17" s="55" t="s">
        <v>700</v>
      </c>
      <c r="FX17" s="54"/>
      <c r="FY17" s="55" t="s">
        <v>713</v>
      </c>
      <c r="GB17" s="54"/>
      <c r="GF17" s="54"/>
    </row>
    <row r="18" spans="1:188" ht="14.4">
      <c r="A18" s="58" t="s">
        <v>508</v>
      </c>
      <c r="B18" s="62">
        <v>-6</v>
      </c>
      <c r="D18" s="54"/>
      <c r="E18" s="55" t="s">
        <v>705</v>
      </c>
      <c r="F18" s="55">
        <v>11.96</v>
      </c>
      <c r="H18" s="54"/>
      <c r="I18" s="55" t="s">
        <v>721</v>
      </c>
      <c r="J18" s="55">
        <v>27.67</v>
      </c>
      <c r="L18" s="54"/>
      <c r="M18" s="55" t="s">
        <v>705</v>
      </c>
      <c r="N18" s="55">
        <v>11.96</v>
      </c>
      <c r="P18" s="54"/>
      <c r="Q18" s="58" t="s">
        <v>582</v>
      </c>
      <c r="R18" s="59">
        <v>0</v>
      </c>
      <c r="T18" s="54"/>
      <c r="U18" s="58" t="s">
        <v>56</v>
      </c>
      <c r="V18" s="59">
        <v>10.712</v>
      </c>
      <c r="X18" s="54"/>
      <c r="Y18" s="58" t="s">
        <v>508</v>
      </c>
      <c r="AB18" s="54"/>
      <c r="AC18" s="55" t="s">
        <v>718</v>
      </c>
      <c r="AF18" s="54"/>
      <c r="AG18" s="55" t="s">
        <v>721</v>
      </c>
      <c r="AH18" s="55">
        <v>27.67</v>
      </c>
      <c r="AJ18" s="54"/>
      <c r="AK18" s="55" t="s">
        <v>721</v>
      </c>
      <c r="AL18" s="55">
        <v>27.67</v>
      </c>
      <c r="AN18" s="54"/>
      <c r="AO18" s="55" t="s">
        <v>721</v>
      </c>
      <c r="AP18" s="55">
        <v>27.67</v>
      </c>
      <c r="AR18" s="54"/>
      <c r="AS18" s="55" t="s">
        <v>721</v>
      </c>
      <c r="AT18" s="55">
        <v>27.67</v>
      </c>
      <c r="AV18" s="54"/>
      <c r="AW18" s="55" t="s">
        <v>721</v>
      </c>
      <c r="AX18" s="55">
        <v>27.67</v>
      </c>
      <c r="AZ18" s="54"/>
      <c r="BA18" s="55" t="s">
        <v>721</v>
      </c>
      <c r="BB18" s="55">
        <v>27.67</v>
      </c>
      <c r="BD18" s="54"/>
      <c r="BE18" s="55" t="s">
        <v>721</v>
      </c>
      <c r="BF18" s="55">
        <v>27.67</v>
      </c>
      <c r="BH18" s="54"/>
      <c r="BI18" s="55" t="s">
        <v>721</v>
      </c>
      <c r="BJ18" s="55">
        <v>27.67</v>
      </c>
      <c r="BL18" s="54"/>
      <c r="BM18" s="55" t="s">
        <v>721</v>
      </c>
      <c r="BN18" s="55">
        <v>27.67</v>
      </c>
      <c r="BP18" s="54"/>
      <c r="BQ18" s="55" t="s">
        <v>560</v>
      </c>
      <c r="BR18" s="67">
        <v>-6.4271999999999991</v>
      </c>
      <c r="BT18" s="54"/>
      <c r="BU18" s="55" t="s">
        <v>705</v>
      </c>
      <c r="BV18" s="55">
        <v>11.96</v>
      </c>
      <c r="BX18" s="54"/>
      <c r="BY18" s="58" t="s">
        <v>508</v>
      </c>
      <c r="BZ18" s="62">
        <v>-6</v>
      </c>
      <c r="CB18" s="54"/>
      <c r="CC18" s="58" t="s">
        <v>769</v>
      </c>
      <c r="CD18" s="58">
        <v>-2</v>
      </c>
      <c r="CF18" s="54"/>
      <c r="CJ18" s="54"/>
      <c r="CK18" s="55" t="s">
        <v>720</v>
      </c>
      <c r="CL18" s="55">
        <v>23.09</v>
      </c>
      <c r="CN18" s="54"/>
      <c r="CR18" s="54"/>
      <c r="CS18" s="55" t="s">
        <v>719</v>
      </c>
      <c r="CT18" s="55">
        <v>18.510000000000002</v>
      </c>
      <c r="CV18" s="54"/>
      <c r="CW18" s="55" t="s">
        <v>720</v>
      </c>
      <c r="CX18" s="55">
        <v>23.09</v>
      </c>
      <c r="CZ18" s="54"/>
      <c r="DA18" s="55" t="s">
        <v>705</v>
      </c>
      <c r="DB18" s="55">
        <v>11.96</v>
      </c>
      <c r="DD18" s="54"/>
      <c r="DE18" s="55" t="s">
        <v>720</v>
      </c>
      <c r="DF18" s="55">
        <v>23.09</v>
      </c>
      <c r="DH18" s="54"/>
      <c r="DI18" s="55" t="s">
        <v>721</v>
      </c>
      <c r="DJ18" s="55">
        <v>27.67</v>
      </c>
      <c r="DL18" s="54"/>
      <c r="DM18" s="55" t="s">
        <v>708</v>
      </c>
      <c r="DN18" s="55">
        <v>-0.55000000000000004</v>
      </c>
      <c r="DP18" s="54"/>
      <c r="DQ18" s="55" t="s">
        <v>693</v>
      </c>
      <c r="DR18" s="55">
        <v>2.99</v>
      </c>
      <c r="DT18" s="54"/>
      <c r="DU18" s="55" t="s">
        <v>694</v>
      </c>
      <c r="DV18" s="55">
        <v>5.98</v>
      </c>
      <c r="DX18" s="54"/>
      <c r="DY18" s="55" t="s">
        <v>705</v>
      </c>
      <c r="DZ18" s="55">
        <v>11.96</v>
      </c>
      <c r="EB18" s="54"/>
      <c r="EC18" s="55" t="s">
        <v>721</v>
      </c>
      <c r="ED18" s="55">
        <v>27.67</v>
      </c>
      <c r="EF18" s="54"/>
      <c r="EG18" s="55" t="s">
        <v>721</v>
      </c>
      <c r="EH18" s="55">
        <v>27.67</v>
      </c>
      <c r="EJ18" s="54"/>
      <c r="EK18" s="55" t="s">
        <v>704</v>
      </c>
      <c r="EL18" s="55">
        <v>8.9700000000000006</v>
      </c>
      <c r="EN18" s="54"/>
      <c r="EO18" s="64" t="s">
        <v>641</v>
      </c>
      <c r="EP18" s="64"/>
      <c r="ER18" s="54"/>
      <c r="ES18" s="55" t="s">
        <v>720</v>
      </c>
      <c r="ET18" s="55">
        <v>23.09</v>
      </c>
      <c r="EV18" s="54"/>
      <c r="EW18" s="58" t="s">
        <v>741</v>
      </c>
      <c r="EX18" s="61">
        <v>0</v>
      </c>
      <c r="EZ18" s="54"/>
      <c r="FA18" s="1" t="s">
        <v>179</v>
      </c>
      <c r="FB18" s="58"/>
      <c r="FD18" s="54"/>
      <c r="FE18" s="190" t="s">
        <v>838</v>
      </c>
      <c r="FF18" s="190"/>
      <c r="FH18" s="54"/>
      <c r="FI18" s="190" t="s">
        <v>838</v>
      </c>
      <c r="FJ18" s="190"/>
      <c r="FL18" s="54"/>
      <c r="FP18" s="54"/>
      <c r="FT18" s="54"/>
      <c r="FU18" s="55" t="s">
        <v>701</v>
      </c>
      <c r="FX18" s="54"/>
      <c r="FY18" s="55" t="s">
        <v>714</v>
      </c>
      <c r="GB18" s="54"/>
      <c r="GF18" s="54"/>
    </row>
    <row r="19" spans="1:188" ht="14.4">
      <c r="A19" s="74" t="s">
        <v>1104</v>
      </c>
      <c r="B19" s="75">
        <v>-16.97</v>
      </c>
      <c r="D19" s="54"/>
      <c r="E19" s="55" t="s">
        <v>721</v>
      </c>
      <c r="F19" s="55">
        <v>27.67</v>
      </c>
      <c r="H19" s="54"/>
      <c r="I19" s="55" t="s">
        <v>706</v>
      </c>
      <c r="J19" s="55">
        <v>14.95</v>
      </c>
      <c r="L19" s="54"/>
      <c r="M19" s="55" t="s">
        <v>721</v>
      </c>
      <c r="N19" s="55">
        <v>27.67</v>
      </c>
      <c r="P19" s="54"/>
      <c r="Q19" s="58" t="s">
        <v>578</v>
      </c>
      <c r="R19" s="59">
        <v>0</v>
      </c>
      <c r="T19" s="54"/>
      <c r="U19" s="58" t="s">
        <v>452</v>
      </c>
      <c r="V19" s="59">
        <v>11.783199999999999</v>
      </c>
      <c r="X19" s="54"/>
      <c r="Y19" s="189" t="s">
        <v>739</v>
      </c>
      <c r="Z19" s="189"/>
      <c r="AB19" s="54"/>
      <c r="AC19" s="55" t="s">
        <v>694</v>
      </c>
      <c r="AF19" s="54"/>
      <c r="AG19" s="55" t="s">
        <v>706</v>
      </c>
      <c r="AH19" s="55">
        <v>14.95</v>
      </c>
      <c r="AJ19" s="54"/>
      <c r="AK19" s="55" t="s">
        <v>706</v>
      </c>
      <c r="AL19" s="55">
        <v>14.95</v>
      </c>
      <c r="AN19" s="54"/>
      <c r="AO19" s="55" t="s">
        <v>706</v>
      </c>
      <c r="AP19" s="55">
        <v>14.95</v>
      </c>
      <c r="AR19" s="54"/>
      <c r="AS19" s="55" t="s">
        <v>706</v>
      </c>
      <c r="AT19" s="55">
        <v>14.95</v>
      </c>
      <c r="AV19" s="54"/>
      <c r="AW19" s="55" t="s">
        <v>706</v>
      </c>
      <c r="AX19" s="55">
        <v>14.95</v>
      </c>
      <c r="AZ19" s="54"/>
      <c r="BA19" s="55" t="s">
        <v>706</v>
      </c>
      <c r="BB19" s="55">
        <v>14.95</v>
      </c>
      <c r="BD19" s="54"/>
      <c r="BE19" s="55" t="s">
        <v>706</v>
      </c>
      <c r="BF19" s="55">
        <v>14.95</v>
      </c>
      <c r="BH19" s="54"/>
      <c r="BI19" s="55" t="s">
        <v>706</v>
      </c>
      <c r="BJ19" s="55">
        <v>14.95</v>
      </c>
      <c r="BL19" s="54"/>
      <c r="BM19" s="55" t="s">
        <v>706</v>
      </c>
      <c r="BN19" s="55">
        <v>14.95</v>
      </c>
      <c r="BP19" s="54"/>
      <c r="BQ19" s="58" t="s">
        <v>542</v>
      </c>
      <c r="BR19" s="62">
        <v>3.9527279999999996</v>
      </c>
      <c r="BT19" s="54"/>
      <c r="BU19" s="55" t="s">
        <v>721</v>
      </c>
      <c r="BV19" s="55">
        <v>27.67</v>
      </c>
      <c r="BX19" s="54"/>
      <c r="BY19" s="74" t="s">
        <v>1105</v>
      </c>
      <c r="BZ19" s="75">
        <v>-12.73</v>
      </c>
      <c r="CB19" s="54"/>
      <c r="CC19" s="189" t="s">
        <v>778</v>
      </c>
      <c r="CD19" s="189"/>
      <c r="CF19" s="54"/>
      <c r="CJ19" s="54"/>
      <c r="CK19" s="55" t="s">
        <v>705</v>
      </c>
      <c r="CL19" s="55">
        <v>11.96</v>
      </c>
      <c r="CN19" s="54"/>
      <c r="CR19" s="54"/>
      <c r="CS19" s="55" t="s">
        <v>704</v>
      </c>
      <c r="CT19" s="55">
        <v>8.9700000000000006</v>
      </c>
      <c r="CV19" s="54"/>
      <c r="CW19" s="55" t="s">
        <v>705</v>
      </c>
      <c r="CX19" s="55">
        <v>11.96</v>
      </c>
      <c r="CZ19" s="54"/>
      <c r="DA19" s="55" t="s">
        <v>721</v>
      </c>
      <c r="DB19" s="55">
        <v>27.67</v>
      </c>
      <c r="DD19" s="54"/>
      <c r="DE19" s="55" t="s">
        <v>705</v>
      </c>
      <c r="DF19" s="55">
        <v>11.96</v>
      </c>
      <c r="DH19" s="54"/>
      <c r="DI19" s="55" t="s">
        <v>706</v>
      </c>
      <c r="DJ19" s="55">
        <v>14.95</v>
      </c>
      <c r="DL19" s="54"/>
      <c r="DM19" s="55" t="s">
        <v>695</v>
      </c>
      <c r="DN19" s="55">
        <v>-2.14</v>
      </c>
      <c r="DP19" s="54"/>
      <c r="DQ19" s="55" t="s">
        <v>718</v>
      </c>
      <c r="DR19" s="55">
        <v>13.93</v>
      </c>
      <c r="DT19" s="54"/>
      <c r="DU19" s="55" t="s">
        <v>719</v>
      </c>
      <c r="DV19" s="55">
        <v>18.510000000000002</v>
      </c>
      <c r="DX19" s="54"/>
      <c r="DY19" s="55" t="s">
        <v>721</v>
      </c>
      <c r="DZ19" s="55">
        <v>27.67</v>
      </c>
      <c r="EB19" s="54"/>
      <c r="EC19" s="55" t="s">
        <v>706</v>
      </c>
      <c r="ED19" s="55">
        <v>14.95</v>
      </c>
      <c r="EF19" s="54"/>
      <c r="EG19" s="55" t="s">
        <v>706</v>
      </c>
      <c r="EH19" s="55">
        <v>14.95</v>
      </c>
      <c r="EJ19" s="54"/>
      <c r="EK19" s="55" t="s">
        <v>720</v>
      </c>
      <c r="EL19" s="55">
        <v>23.09</v>
      </c>
      <c r="EN19" s="54"/>
      <c r="EO19" s="64" t="s">
        <v>637</v>
      </c>
      <c r="EP19" s="64"/>
      <c r="ER19" s="54"/>
      <c r="ES19" s="55" t="s">
        <v>705</v>
      </c>
      <c r="ET19" s="55">
        <v>11.96</v>
      </c>
      <c r="EV19" s="54"/>
      <c r="EW19" s="58" t="s">
        <v>742</v>
      </c>
      <c r="EX19" s="61">
        <v>0</v>
      </c>
      <c r="EZ19" s="54"/>
      <c r="FA19" s="1" t="s">
        <v>100</v>
      </c>
      <c r="FB19" s="58"/>
      <c r="FC19" s="59"/>
      <c r="FD19" s="54"/>
      <c r="FE19" s="12" t="s">
        <v>881</v>
      </c>
      <c r="FF19" s="3"/>
      <c r="FH19" s="54"/>
      <c r="FI19" s="12" t="s">
        <v>881</v>
      </c>
      <c r="FJ19" s="3"/>
      <c r="FL19" s="54"/>
      <c r="FP19" s="54"/>
      <c r="FT19" s="54"/>
      <c r="FX19" s="54"/>
      <c r="GB19" s="54"/>
      <c r="GF19" s="54"/>
    </row>
    <row r="20" spans="1:188" ht="14.4">
      <c r="A20" s="189" t="s">
        <v>734</v>
      </c>
      <c r="B20" s="189"/>
      <c r="D20" s="54"/>
      <c r="E20" s="55" t="s">
        <v>706</v>
      </c>
      <c r="F20" s="55">
        <v>14.95</v>
      </c>
      <c r="H20" s="54"/>
      <c r="I20" s="55" t="s">
        <v>722</v>
      </c>
      <c r="J20" s="55">
        <v>32.25</v>
      </c>
      <c r="L20" s="54"/>
      <c r="M20" s="55" t="s">
        <v>706</v>
      </c>
      <c r="N20" s="55">
        <v>14.95</v>
      </c>
      <c r="P20" s="54"/>
      <c r="Q20" s="55" t="s">
        <v>675</v>
      </c>
      <c r="R20" s="59">
        <v>4.2847999999999997</v>
      </c>
      <c r="T20" s="54"/>
      <c r="U20" s="58" t="s">
        <v>57</v>
      </c>
      <c r="V20" s="59">
        <v>14.996799999999999</v>
      </c>
      <c r="X20" s="54"/>
      <c r="Y20" s="69" t="s">
        <v>730</v>
      </c>
      <c r="Z20" s="70"/>
      <c r="AB20" s="54"/>
      <c r="AC20" s="55" t="s">
        <v>560</v>
      </c>
      <c r="AF20" s="54"/>
      <c r="AG20" s="55" t="s">
        <v>722</v>
      </c>
      <c r="AH20" s="55">
        <v>32.25</v>
      </c>
      <c r="AJ20" s="54"/>
      <c r="AK20" s="55" t="s">
        <v>722</v>
      </c>
      <c r="AL20" s="55">
        <v>32.25</v>
      </c>
      <c r="AN20" s="54"/>
      <c r="AO20" s="55" t="s">
        <v>722</v>
      </c>
      <c r="AP20" s="55">
        <v>32.25</v>
      </c>
      <c r="AR20" s="54"/>
      <c r="AS20" s="55" t="s">
        <v>722</v>
      </c>
      <c r="AT20" s="55">
        <v>32.25</v>
      </c>
      <c r="AV20" s="54"/>
      <c r="AW20" s="55" t="s">
        <v>722</v>
      </c>
      <c r="AX20" s="55">
        <v>32.25</v>
      </c>
      <c r="AZ20" s="54"/>
      <c r="BA20" s="55" t="s">
        <v>722</v>
      </c>
      <c r="BB20" s="55">
        <v>32.25</v>
      </c>
      <c r="BD20" s="54"/>
      <c r="BE20" s="55" t="s">
        <v>722</v>
      </c>
      <c r="BF20" s="55">
        <v>32.25</v>
      </c>
      <c r="BH20" s="54"/>
      <c r="BI20" s="55" t="s">
        <v>722</v>
      </c>
      <c r="BJ20" s="55">
        <v>32.25</v>
      </c>
      <c r="BL20" s="54"/>
      <c r="BM20" s="55" t="s">
        <v>722</v>
      </c>
      <c r="BN20" s="55">
        <v>32.25</v>
      </c>
      <c r="BP20" s="54"/>
      <c r="BQ20" s="58" t="s">
        <v>508</v>
      </c>
      <c r="BR20" s="62">
        <v>-6</v>
      </c>
      <c r="BT20" s="54"/>
      <c r="BU20" s="55" t="s">
        <v>706</v>
      </c>
      <c r="BV20" s="55">
        <v>14.95</v>
      </c>
      <c r="BX20" s="54"/>
      <c r="BY20" s="191" t="s">
        <v>734</v>
      </c>
      <c r="BZ20" s="191"/>
      <c r="CB20" s="54"/>
      <c r="CC20" s="58" t="s">
        <v>783</v>
      </c>
      <c r="CD20" s="56">
        <v>1.46</v>
      </c>
      <c r="CF20" s="54"/>
      <c r="CJ20" s="54"/>
      <c r="CK20" s="55" t="s">
        <v>721</v>
      </c>
      <c r="CL20" s="55">
        <v>27.67</v>
      </c>
      <c r="CN20" s="54"/>
      <c r="CR20" s="54"/>
      <c r="CS20" s="55" t="s">
        <v>720</v>
      </c>
      <c r="CT20" s="55">
        <v>23.09</v>
      </c>
      <c r="CV20" s="54"/>
      <c r="CW20" s="55" t="s">
        <v>721</v>
      </c>
      <c r="CX20" s="55">
        <v>27.67</v>
      </c>
      <c r="CZ20" s="54"/>
      <c r="DA20" s="55" t="s">
        <v>706</v>
      </c>
      <c r="DB20" s="55">
        <v>14.95</v>
      </c>
      <c r="DD20" s="54"/>
      <c r="DE20" s="55" t="s">
        <v>721</v>
      </c>
      <c r="DF20" s="55">
        <v>27.67</v>
      </c>
      <c r="DH20" s="54"/>
      <c r="DI20" s="55" t="s">
        <v>722</v>
      </c>
      <c r="DJ20" s="55">
        <v>32.25</v>
      </c>
      <c r="DL20" s="54"/>
      <c r="DM20" s="55" t="s">
        <v>715</v>
      </c>
      <c r="DN20" s="55">
        <v>2.11</v>
      </c>
      <c r="DP20" s="54"/>
      <c r="DQ20" s="55" t="s">
        <v>694</v>
      </c>
      <c r="DR20" s="55">
        <v>5.98</v>
      </c>
      <c r="DT20" s="54"/>
      <c r="DU20" s="55" t="s">
        <v>704</v>
      </c>
      <c r="DV20" s="55">
        <v>8.9700000000000006</v>
      </c>
      <c r="DX20" s="54"/>
      <c r="DY20" s="55" t="s">
        <v>706</v>
      </c>
      <c r="DZ20" s="55">
        <v>14.95</v>
      </c>
      <c r="EB20" s="54"/>
      <c r="EC20" s="55" t="s">
        <v>722</v>
      </c>
      <c r="ED20" s="55">
        <v>32.25</v>
      </c>
      <c r="EF20" s="54"/>
      <c r="EG20" s="55" t="s">
        <v>722</v>
      </c>
      <c r="EH20" s="55">
        <v>32.25</v>
      </c>
      <c r="EJ20" s="54"/>
      <c r="EK20" s="55" t="s">
        <v>705</v>
      </c>
      <c r="EL20" s="55">
        <v>11.96</v>
      </c>
      <c r="EN20" s="54"/>
      <c r="EO20" s="64" t="s">
        <v>634</v>
      </c>
      <c r="EP20" s="68">
        <v>2.6244399999999999</v>
      </c>
      <c r="ER20" s="54"/>
      <c r="ES20" s="55" t="s">
        <v>721</v>
      </c>
      <c r="ET20" s="55">
        <v>27.67</v>
      </c>
      <c r="EV20" s="54"/>
      <c r="EW20" s="58" t="s">
        <v>743</v>
      </c>
      <c r="EX20" s="61">
        <v>6.4271999999999991</v>
      </c>
      <c r="EZ20" s="54"/>
      <c r="FA20" s="1" t="s">
        <v>178</v>
      </c>
      <c r="FB20" s="58"/>
      <c r="FC20" s="59"/>
      <c r="FD20" s="54"/>
      <c r="FE20" s="5" t="s">
        <v>692</v>
      </c>
      <c r="FF20" s="3"/>
      <c r="FH20" s="54"/>
      <c r="FI20" s="5" t="s">
        <v>692</v>
      </c>
      <c r="FJ20" s="3"/>
      <c r="FL20" s="54"/>
      <c r="FP20" s="54"/>
      <c r="FT20" s="54"/>
      <c r="FX20" s="54"/>
      <c r="GB20" s="54"/>
      <c r="GF20" s="54"/>
    </row>
    <row r="21" spans="1:188" ht="14.4">
      <c r="A21" s="58" t="s">
        <v>418</v>
      </c>
      <c r="B21" s="62">
        <v>0</v>
      </c>
      <c r="D21" s="53" t="s">
        <v>827</v>
      </c>
      <c r="E21" s="55" t="s">
        <v>722</v>
      </c>
      <c r="F21" s="55">
        <v>32.25</v>
      </c>
      <c r="H21" s="54"/>
      <c r="I21" s="55" t="s">
        <v>707</v>
      </c>
      <c r="J21" s="55">
        <v>17.940000000000001</v>
      </c>
      <c r="L21" s="54"/>
      <c r="M21" s="55" t="s">
        <v>722</v>
      </c>
      <c r="N21" s="55">
        <v>32.25</v>
      </c>
      <c r="P21" s="54"/>
      <c r="Q21" s="58" t="s">
        <v>573</v>
      </c>
      <c r="R21" s="59">
        <v>4.2847999999999997</v>
      </c>
      <c r="T21" s="54"/>
      <c r="U21" s="58" t="s">
        <v>1005</v>
      </c>
      <c r="V21" s="59">
        <v>17.139199999999999</v>
      </c>
      <c r="X21" s="54"/>
      <c r="Y21" s="69" t="s">
        <v>13</v>
      </c>
      <c r="Z21" s="70"/>
      <c r="AB21" s="54"/>
      <c r="AC21" s="58" t="s">
        <v>542</v>
      </c>
      <c r="AF21" s="54"/>
      <c r="AG21" s="55" t="s">
        <v>707</v>
      </c>
      <c r="AH21" s="55">
        <v>17.940000000000001</v>
      </c>
      <c r="AJ21" s="54"/>
      <c r="AK21" s="55" t="s">
        <v>707</v>
      </c>
      <c r="AL21" s="55">
        <v>17.940000000000001</v>
      </c>
      <c r="AN21" s="54"/>
      <c r="AO21" s="55" t="s">
        <v>707</v>
      </c>
      <c r="AP21" s="55">
        <v>17.940000000000001</v>
      </c>
      <c r="AR21" s="54"/>
      <c r="AS21" s="55" t="s">
        <v>707</v>
      </c>
      <c r="AT21" s="55">
        <v>17.940000000000001</v>
      </c>
      <c r="AV21" s="54"/>
      <c r="AW21" s="55" t="s">
        <v>707</v>
      </c>
      <c r="AX21" s="55">
        <v>17.940000000000001</v>
      </c>
      <c r="AZ21" s="54"/>
      <c r="BA21" s="55" t="s">
        <v>707</v>
      </c>
      <c r="BB21" s="55">
        <v>17.940000000000001</v>
      </c>
      <c r="BD21" s="54"/>
      <c r="BE21" s="55" t="s">
        <v>707</v>
      </c>
      <c r="BF21" s="55">
        <v>17.940000000000001</v>
      </c>
      <c r="BH21" s="54"/>
      <c r="BI21" s="55" t="s">
        <v>707</v>
      </c>
      <c r="BJ21" s="55">
        <v>17.940000000000001</v>
      </c>
      <c r="BL21" s="54"/>
      <c r="BM21" s="55" t="s">
        <v>707</v>
      </c>
      <c r="BN21" s="55">
        <v>17.940000000000001</v>
      </c>
      <c r="BP21" s="54"/>
      <c r="BQ21" s="74" t="s">
        <v>1105</v>
      </c>
      <c r="BR21" s="75">
        <v>-12.73</v>
      </c>
      <c r="BT21" s="54"/>
      <c r="BU21" s="55" t="s">
        <v>722</v>
      </c>
      <c r="BV21" s="55">
        <v>32.25</v>
      </c>
      <c r="BX21" s="54"/>
      <c r="BY21" s="58" t="s">
        <v>723</v>
      </c>
      <c r="BZ21" s="62">
        <v>0</v>
      </c>
      <c r="CB21" s="54"/>
      <c r="CC21" s="58" t="s">
        <v>780</v>
      </c>
      <c r="CD21" s="56">
        <v>2.5499999999999998</v>
      </c>
      <c r="CF21" s="54"/>
      <c r="CJ21" s="54"/>
      <c r="CK21" s="55" t="s">
        <v>706</v>
      </c>
      <c r="CL21" s="55">
        <v>14.95</v>
      </c>
      <c r="CN21" s="54"/>
      <c r="CR21" s="54"/>
      <c r="CS21" s="55" t="s">
        <v>705</v>
      </c>
      <c r="CT21" s="55">
        <v>11.96</v>
      </c>
      <c r="CV21" s="54"/>
      <c r="CW21" s="55" t="s">
        <v>706</v>
      </c>
      <c r="CX21" s="55">
        <v>14.95</v>
      </c>
      <c r="CZ21" s="54"/>
      <c r="DA21" s="55" t="s">
        <v>722</v>
      </c>
      <c r="DB21" s="55">
        <v>32.25</v>
      </c>
      <c r="DD21" s="54"/>
      <c r="DE21" s="55" t="s">
        <v>706</v>
      </c>
      <c r="DF21" s="55">
        <v>14.95</v>
      </c>
      <c r="DH21" s="54"/>
      <c r="DI21" s="55" t="s">
        <v>707</v>
      </c>
      <c r="DJ21" s="55">
        <v>17.940000000000001</v>
      </c>
      <c r="DL21" s="54"/>
      <c r="DM21" s="55" t="s">
        <v>702</v>
      </c>
      <c r="DN21" s="55">
        <v>-1.07</v>
      </c>
      <c r="DP21" s="54"/>
      <c r="DQ21" s="55" t="s">
        <v>719</v>
      </c>
      <c r="DR21" s="55">
        <v>18.510000000000002</v>
      </c>
      <c r="DT21" s="54"/>
      <c r="DU21" s="55" t="s">
        <v>720</v>
      </c>
      <c r="DV21" s="55">
        <v>23.09</v>
      </c>
      <c r="DX21" s="54"/>
      <c r="DY21" s="55" t="s">
        <v>722</v>
      </c>
      <c r="DZ21" s="55">
        <v>32.25</v>
      </c>
      <c r="EB21" s="54"/>
      <c r="EC21" s="55" t="s">
        <v>707</v>
      </c>
      <c r="ED21" s="55">
        <v>17.940000000000001</v>
      </c>
      <c r="EF21" s="54"/>
      <c r="EG21" s="55" t="s">
        <v>707</v>
      </c>
      <c r="EH21" s="55">
        <v>17.940000000000001</v>
      </c>
      <c r="EJ21" s="54"/>
      <c r="EK21" s="55" t="s">
        <v>721</v>
      </c>
      <c r="EL21" s="55">
        <v>27.67</v>
      </c>
      <c r="EN21" s="54"/>
      <c r="EO21" s="64" t="s">
        <v>630</v>
      </c>
      <c r="EP21" s="68">
        <v>1.1890320000000001</v>
      </c>
      <c r="ER21" s="54"/>
      <c r="ES21" s="55" t="s">
        <v>706</v>
      </c>
      <c r="ET21" s="55">
        <v>14.95</v>
      </c>
      <c r="EV21" s="54"/>
      <c r="EW21" s="58" t="s">
        <v>744</v>
      </c>
      <c r="EX21" s="61">
        <v>6.4271999999999991</v>
      </c>
      <c r="EZ21" s="54"/>
      <c r="FA21" s="1" t="s">
        <v>101</v>
      </c>
      <c r="FB21" s="58"/>
      <c r="FC21" s="59"/>
      <c r="FD21" s="54"/>
      <c r="FH21" s="54"/>
      <c r="FL21" s="54"/>
      <c r="FP21" s="54"/>
      <c r="FT21" s="54"/>
      <c r="FX21" s="54"/>
      <c r="GB21" s="54"/>
      <c r="GF21" s="54"/>
    </row>
    <row r="22" spans="1:188" ht="14.4">
      <c r="A22" s="58" t="s">
        <v>417</v>
      </c>
      <c r="B22" s="62">
        <v>0</v>
      </c>
      <c r="D22" s="54"/>
      <c r="E22" s="55" t="s">
        <v>707</v>
      </c>
      <c r="F22" s="55">
        <v>17.940000000000001</v>
      </c>
      <c r="H22" s="54"/>
      <c r="I22" s="55" t="s">
        <v>709</v>
      </c>
      <c r="J22" s="55">
        <v>36.83</v>
      </c>
      <c r="L22" s="54"/>
      <c r="M22" s="55" t="s">
        <v>707</v>
      </c>
      <c r="N22" s="55">
        <v>17.940000000000001</v>
      </c>
      <c r="P22" s="54"/>
      <c r="Q22" s="58" t="s">
        <v>569</v>
      </c>
      <c r="R22" s="59">
        <v>4.2847999999999997</v>
      </c>
      <c r="T22" s="54"/>
      <c r="U22" s="58" t="s">
        <v>58</v>
      </c>
      <c r="V22" s="59">
        <v>19.281599999999997</v>
      </c>
      <c r="X22" s="54"/>
      <c r="Y22" s="69" t="s">
        <v>786</v>
      </c>
      <c r="Z22" s="70"/>
      <c r="AB22" s="54"/>
      <c r="AC22" s="58" t="s">
        <v>508</v>
      </c>
      <c r="AF22" s="54"/>
      <c r="AG22" s="55" t="s">
        <v>709</v>
      </c>
      <c r="AH22" s="55">
        <v>36.83</v>
      </c>
      <c r="AJ22" s="54"/>
      <c r="AK22" s="55" t="s">
        <v>709</v>
      </c>
      <c r="AL22" s="55">
        <v>36.83</v>
      </c>
      <c r="AN22" s="54"/>
      <c r="AO22" s="55" t="s">
        <v>709</v>
      </c>
      <c r="AP22" s="55">
        <v>36.83</v>
      </c>
      <c r="AR22" s="54"/>
      <c r="AS22" s="55" t="s">
        <v>709</v>
      </c>
      <c r="AT22" s="55">
        <v>36.83</v>
      </c>
      <c r="AV22" s="54"/>
      <c r="AW22" s="55" t="s">
        <v>709</v>
      </c>
      <c r="AX22" s="55">
        <v>36.83</v>
      </c>
      <c r="AZ22" s="54"/>
      <c r="BA22" s="55" t="s">
        <v>709</v>
      </c>
      <c r="BB22" s="55">
        <v>36.83</v>
      </c>
      <c r="BD22" s="54"/>
      <c r="BE22" s="55" t="s">
        <v>709</v>
      </c>
      <c r="BF22" s="55">
        <v>36.83</v>
      </c>
      <c r="BH22" s="54"/>
      <c r="BI22" s="55" t="s">
        <v>709</v>
      </c>
      <c r="BJ22" s="55">
        <v>36.83</v>
      </c>
      <c r="BL22" s="54"/>
      <c r="BM22" s="55" t="s">
        <v>709</v>
      </c>
      <c r="BN22" s="55">
        <v>36.83</v>
      </c>
      <c r="BP22" s="54"/>
      <c r="BQ22" s="189" t="s">
        <v>736</v>
      </c>
      <c r="BR22" s="189"/>
      <c r="BT22" s="54"/>
      <c r="BU22" s="55" t="s">
        <v>707</v>
      </c>
      <c r="BV22" s="55">
        <v>17.940000000000001</v>
      </c>
      <c r="BX22" s="54"/>
      <c r="BY22" s="58" t="s">
        <v>724</v>
      </c>
      <c r="BZ22" s="62">
        <v>0</v>
      </c>
      <c r="CB22" s="54"/>
      <c r="CC22" s="189" t="s">
        <v>839</v>
      </c>
      <c r="CD22" s="189"/>
      <c r="CF22" s="54"/>
      <c r="CJ22" s="54"/>
      <c r="CK22" s="55" t="s">
        <v>722</v>
      </c>
      <c r="CL22" s="55">
        <v>32.25</v>
      </c>
      <c r="CN22" s="54"/>
      <c r="CR22" s="54"/>
      <c r="CS22" s="55" t="s">
        <v>721</v>
      </c>
      <c r="CT22" s="55">
        <v>27.67</v>
      </c>
      <c r="CV22" s="54"/>
      <c r="CW22" s="55" t="s">
        <v>722</v>
      </c>
      <c r="CX22" s="55">
        <v>32.25</v>
      </c>
      <c r="CZ22" s="54"/>
      <c r="DA22" s="55" t="s">
        <v>707</v>
      </c>
      <c r="DB22" s="55">
        <v>17.940000000000001</v>
      </c>
      <c r="DD22" s="54"/>
      <c r="DE22" s="55" t="s">
        <v>722</v>
      </c>
      <c r="DF22" s="55">
        <v>32.25</v>
      </c>
      <c r="DH22" s="54"/>
      <c r="DI22" s="55" t="s">
        <v>709</v>
      </c>
      <c r="DJ22" s="55">
        <v>36.83</v>
      </c>
      <c r="DL22" s="54"/>
      <c r="DM22" s="55" t="s">
        <v>716</v>
      </c>
      <c r="DN22" s="55">
        <v>4.7699999999999996</v>
      </c>
      <c r="DP22" s="54"/>
      <c r="DQ22" s="55" t="s">
        <v>704</v>
      </c>
      <c r="DR22" s="55">
        <v>8.9700000000000006</v>
      </c>
      <c r="DT22" s="54"/>
      <c r="DU22" s="55" t="s">
        <v>705</v>
      </c>
      <c r="DV22" s="55">
        <v>11.96</v>
      </c>
      <c r="DX22" s="54"/>
      <c r="DY22" s="55" t="s">
        <v>707</v>
      </c>
      <c r="DZ22" s="55">
        <v>17.940000000000001</v>
      </c>
      <c r="EB22" s="54"/>
      <c r="EC22" s="55" t="s">
        <v>709</v>
      </c>
      <c r="ED22" s="55">
        <v>36.83</v>
      </c>
      <c r="EF22" s="54"/>
      <c r="EG22" s="55" t="s">
        <v>709</v>
      </c>
      <c r="EH22" s="55">
        <v>36.83</v>
      </c>
      <c r="EJ22" s="54"/>
      <c r="EK22" s="55" t="s">
        <v>706</v>
      </c>
      <c r="EL22" s="55">
        <v>14.95</v>
      </c>
      <c r="EN22" s="54"/>
      <c r="EO22" s="64" t="s">
        <v>626</v>
      </c>
      <c r="EP22" s="64"/>
      <c r="ER22" s="54"/>
      <c r="ES22" s="55" t="s">
        <v>722</v>
      </c>
      <c r="ET22" s="55">
        <v>32.25</v>
      </c>
      <c r="EV22" s="54"/>
      <c r="EW22" s="58" t="s">
        <v>745</v>
      </c>
      <c r="EX22" s="61">
        <v>6.4271999999999991</v>
      </c>
      <c r="EZ22" s="54"/>
      <c r="FA22" s="1" t="s">
        <v>177</v>
      </c>
      <c r="FB22" s="58"/>
      <c r="FC22" s="59"/>
      <c r="FD22" s="54"/>
      <c r="FH22" s="54"/>
      <c r="FL22" s="54"/>
      <c r="FP22" s="54"/>
      <c r="FT22" s="54"/>
      <c r="FX22" s="54"/>
      <c r="GB22" s="54"/>
      <c r="GF22" s="54"/>
    </row>
    <row r="23" spans="1:188" ht="14.4">
      <c r="A23" s="58" t="s">
        <v>416</v>
      </c>
      <c r="B23" s="62">
        <v>0</v>
      </c>
      <c r="D23" s="54"/>
      <c r="E23" s="55" t="s">
        <v>709</v>
      </c>
      <c r="F23" s="55">
        <v>36.83</v>
      </c>
      <c r="H23" s="54"/>
      <c r="I23" s="55" t="s">
        <v>696</v>
      </c>
      <c r="J23" s="55">
        <v>20.93</v>
      </c>
      <c r="L23" s="54"/>
      <c r="M23" s="55" t="s">
        <v>709</v>
      </c>
      <c r="N23" s="55">
        <v>36.83</v>
      </c>
      <c r="P23" s="54"/>
      <c r="Q23" s="58" t="s">
        <v>566</v>
      </c>
      <c r="R23" s="59">
        <v>8.5695999999999994</v>
      </c>
      <c r="T23" s="54"/>
      <c r="U23" s="58" t="s">
        <v>1006</v>
      </c>
      <c r="V23" s="59">
        <v>21.423999999999999</v>
      </c>
      <c r="X23" s="54"/>
      <c r="Y23" s="71" t="s">
        <v>29</v>
      </c>
      <c r="Z23" s="70"/>
      <c r="AB23" s="54"/>
      <c r="AC23" s="189" t="s">
        <v>739</v>
      </c>
      <c r="AD23" s="189"/>
      <c r="AF23" s="54"/>
      <c r="AG23" s="55" t="s">
        <v>696</v>
      </c>
      <c r="AH23" s="55">
        <v>20.93</v>
      </c>
      <c r="AJ23" s="54"/>
      <c r="AK23" s="55" t="s">
        <v>696</v>
      </c>
      <c r="AL23" s="55">
        <v>20.93</v>
      </c>
      <c r="AN23" s="54"/>
      <c r="AO23" s="55" t="s">
        <v>696</v>
      </c>
      <c r="AP23" s="55">
        <v>20.93</v>
      </c>
      <c r="AR23" s="54"/>
      <c r="AS23" s="55" t="s">
        <v>696</v>
      </c>
      <c r="AT23" s="55">
        <v>20.93</v>
      </c>
      <c r="AV23" s="54"/>
      <c r="AW23" s="55" t="s">
        <v>696</v>
      </c>
      <c r="AX23" s="55">
        <v>20.93</v>
      </c>
      <c r="AZ23" s="54"/>
      <c r="BA23" s="55" t="s">
        <v>696</v>
      </c>
      <c r="BB23" s="55">
        <v>20.93</v>
      </c>
      <c r="BD23" s="54"/>
      <c r="BE23" s="55" t="s">
        <v>696</v>
      </c>
      <c r="BF23" s="55">
        <v>20.93</v>
      </c>
      <c r="BH23" s="54"/>
      <c r="BI23" s="55" t="s">
        <v>696</v>
      </c>
      <c r="BJ23" s="55">
        <v>20.93</v>
      </c>
      <c r="BL23" s="54"/>
      <c r="BM23" s="55" t="s">
        <v>696</v>
      </c>
      <c r="BN23" s="55">
        <v>20.93</v>
      </c>
      <c r="BP23" s="54"/>
      <c r="BQ23" s="58" t="s">
        <v>758</v>
      </c>
      <c r="BR23" s="56">
        <v>0</v>
      </c>
      <c r="BT23" s="54"/>
      <c r="BU23" s="55" t="s">
        <v>709</v>
      </c>
      <c r="BV23" s="55">
        <v>36.83</v>
      </c>
      <c r="BX23" s="54"/>
      <c r="BY23" s="58" t="s">
        <v>725</v>
      </c>
      <c r="BZ23" s="62">
        <v>2.1423999999999999</v>
      </c>
      <c r="CB23" s="54"/>
      <c r="CC23" s="58" t="s">
        <v>863</v>
      </c>
      <c r="CD23" s="62">
        <v>3.17</v>
      </c>
      <c r="CF23" s="54"/>
      <c r="CJ23" s="54"/>
      <c r="CK23" s="55" t="s">
        <v>707</v>
      </c>
      <c r="CL23" s="55">
        <v>17.940000000000001</v>
      </c>
      <c r="CN23" s="54"/>
      <c r="CR23" s="54"/>
      <c r="CS23" s="55" t="s">
        <v>706</v>
      </c>
      <c r="CT23" s="55">
        <v>14.95</v>
      </c>
      <c r="CV23" s="54"/>
      <c r="CW23" s="55" t="s">
        <v>707</v>
      </c>
      <c r="CX23" s="55">
        <v>17.940000000000001</v>
      </c>
      <c r="CZ23" s="54"/>
      <c r="DA23" s="55" t="s">
        <v>709</v>
      </c>
      <c r="DB23" s="55">
        <v>36.83</v>
      </c>
      <c r="DD23" s="54"/>
      <c r="DE23" s="55" t="s">
        <v>707</v>
      </c>
      <c r="DF23" s="55">
        <v>17.940000000000001</v>
      </c>
      <c r="DH23" s="54"/>
      <c r="DI23" s="55" t="s">
        <v>696</v>
      </c>
      <c r="DJ23" s="55">
        <v>20.93</v>
      </c>
      <c r="DL23" s="54"/>
      <c r="DM23" s="55" t="s">
        <v>703</v>
      </c>
      <c r="DN23" s="55">
        <v>0</v>
      </c>
      <c r="DP23" s="54"/>
      <c r="DQ23" s="55" t="s">
        <v>720</v>
      </c>
      <c r="DR23" s="55">
        <v>23.09</v>
      </c>
      <c r="DT23" s="54"/>
      <c r="DU23" s="55" t="s">
        <v>721</v>
      </c>
      <c r="DV23" s="55">
        <v>27.67</v>
      </c>
      <c r="DX23" s="54"/>
      <c r="DY23" s="55" t="s">
        <v>709</v>
      </c>
      <c r="DZ23" s="55">
        <v>36.83</v>
      </c>
      <c r="EB23" s="54"/>
      <c r="EC23" s="55" t="s">
        <v>696</v>
      </c>
      <c r="ED23" s="55">
        <v>20.93</v>
      </c>
      <c r="EF23" s="54"/>
      <c r="EG23" s="55" t="s">
        <v>696</v>
      </c>
      <c r="EH23" s="55">
        <v>20.93</v>
      </c>
      <c r="EJ23" s="54"/>
      <c r="EK23" s="55" t="s">
        <v>722</v>
      </c>
      <c r="EL23" s="55">
        <v>32.25</v>
      </c>
      <c r="EN23" s="54"/>
      <c r="ER23" s="54"/>
      <c r="ES23" s="55" t="s">
        <v>707</v>
      </c>
      <c r="ET23" s="55">
        <v>17.940000000000001</v>
      </c>
      <c r="EV23" s="54"/>
      <c r="EW23" s="58" t="s">
        <v>746</v>
      </c>
      <c r="EX23" s="61">
        <v>6.4271999999999991</v>
      </c>
      <c r="EZ23" s="54"/>
      <c r="FA23" s="1" t="s">
        <v>102</v>
      </c>
      <c r="FB23" s="58"/>
      <c r="FC23" s="59"/>
      <c r="FD23" s="54"/>
      <c r="FH23" s="54"/>
      <c r="FL23" s="54"/>
      <c r="FP23" s="54"/>
      <c r="FT23" s="54"/>
      <c r="FU23" s="63"/>
      <c r="FX23" s="54"/>
      <c r="GB23" s="54"/>
      <c r="GF23" s="54"/>
    </row>
    <row r="24" spans="1:188" ht="14.4">
      <c r="A24" s="58" t="s">
        <v>415</v>
      </c>
      <c r="B24" s="62">
        <v>0</v>
      </c>
      <c r="D24" s="54"/>
      <c r="E24" s="55" t="s">
        <v>696</v>
      </c>
      <c r="F24" s="55">
        <v>20.93</v>
      </c>
      <c r="H24" s="54"/>
      <c r="I24" s="55" t="s">
        <v>710</v>
      </c>
      <c r="J24" s="55">
        <v>41.41</v>
      </c>
      <c r="L24" s="54"/>
      <c r="M24" s="55" t="s">
        <v>696</v>
      </c>
      <c r="N24" s="55">
        <v>20.93</v>
      </c>
      <c r="P24" s="54"/>
      <c r="Q24" s="55" t="s">
        <v>676</v>
      </c>
      <c r="R24" s="59">
        <v>8.5695999999999994</v>
      </c>
      <c r="T24" s="54"/>
      <c r="U24" s="58" t="s">
        <v>59</v>
      </c>
      <c r="V24" s="59">
        <v>23.566399999999998</v>
      </c>
      <c r="X24" s="54"/>
      <c r="Y24" s="69" t="s">
        <v>30</v>
      </c>
      <c r="Z24" s="70"/>
      <c r="AB24" s="54"/>
      <c r="AC24" s="69" t="s">
        <v>730</v>
      </c>
      <c r="AD24" s="70"/>
      <c r="AF24" s="54"/>
      <c r="AG24" s="55" t="s">
        <v>710</v>
      </c>
      <c r="AH24" s="55">
        <v>41.41</v>
      </c>
      <c r="AJ24" s="54"/>
      <c r="AK24" s="55" t="s">
        <v>710</v>
      </c>
      <c r="AL24" s="55">
        <v>41.41</v>
      </c>
      <c r="AN24" s="54"/>
      <c r="AO24" s="55" t="s">
        <v>710</v>
      </c>
      <c r="AP24" s="55">
        <v>41.41</v>
      </c>
      <c r="AR24" s="54"/>
      <c r="AS24" s="55" t="s">
        <v>710</v>
      </c>
      <c r="AT24" s="55">
        <v>41.41</v>
      </c>
      <c r="AV24" s="54"/>
      <c r="AW24" s="55" t="s">
        <v>710</v>
      </c>
      <c r="AX24" s="55">
        <v>41.41</v>
      </c>
      <c r="AZ24" s="54"/>
      <c r="BA24" s="55" t="s">
        <v>710</v>
      </c>
      <c r="BB24" s="55">
        <v>41.41</v>
      </c>
      <c r="BD24" s="54"/>
      <c r="BE24" s="55" t="s">
        <v>710</v>
      </c>
      <c r="BF24" s="55">
        <v>41.41</v>
      </c>
      <c r="BH24" s="54"/>
      <c r="BI24" s="55" t="s">
        <v>710</v>
      </c>
      <c r="BJ24" s="55">
        <v>41.41</v>
      </c>
      <c r="BL24" s="54"/>
      <c r="BM24" s="55" t="s">
        <v>710</v>
      </c>
      <c r="BN24" s="55">
        <v>41.41</v>
      </c>
      <c r="BP24" s="54"/>
      <c r="BQ24" s="58" t="s">
        <v>759</v>
      </c>
      <c r="BR24" s="56">
        <v>0</v>
      </c>
      <c r="BT24" s="54"/>
      <c r="BU24" s="55" t="s">
        <v>696</v>
      </c>
      <c r="BV24" s="55">
        <v>20.93</v>
      </c>
      <c r="BX24" s="54"/>
      <c r="BY24" s="58" t="s">
        <v>726</v>
      </c>
      <c r="BZ24" s="62">
        <v>4.2847999999999997</v>
      </c>
      <c r="CB24" s="54"/>
      <c r="CF24" s="54"/>
      <c r="CJ24" s="54"/>
      <c r="CK24" s="55" t="s">
        <v>709</v>
      </c>
      <c r="CL24" s="55">
        <v>36.83</v>
      </c>
      <c r="CN24" s="54"/>
      <c r="CR24" s="54"/>
      <c r="CS24" s="55" t="s">
        <v>722</v>
      </c>
      <c r="CT24" s="55">
        <v>32.25</v>
      </c>
      <c r="CV24" s="54"/>
      <c r="CW24" s="55" t="s">
        <v>709</v>
      </c>
      <c r="CX24" s="55">
        <v>36.83</v>
      </c>
      <c r="CZ24" s="54"/>
      <c r="DA24" s="55" t="s">
        <v>696</v>
      </c>
      <c r="DB24" s="55">
        <v>20.93</v>
      </c>
      <c r="DD24" s="54"/>
      <c r="DE24" s="55" t="s">
        <v>709</v>
      </c>
      <c r="DF24" s="55">
        <v>36.83</v>
      </c>
      <c r="DH24" s="54"/>
      <c r="DI24" s="55" t="s">
        <v>710</v>
      </c>
      <c r="DJ24" s="55">
        <v>41.41</v>
      </c>
      <c r="DL24" s="54"/>
      <c r="DM24" s="55" t="s">
        <v>717</v>
      </c>
      <c r="DN24" s="55">
        <v>9.35</v>
      </c>
      <c r="DP24" s="54"/>
      <c r="DQ24" s="55" t="s">
        <v>705</v>
      </c>
      <c r="DR24" s="55">
        <v>11.96</v>
      </c>
      <c r="DT24" s="54"/>
      <c r="DU24" s="55" t="s">
        <v>706</v>
      </c>
      <c r="DV24" s="55">
        <v>14.95</v>
      </c>
      <c r="DX24" s="54"/>
      <c r="DY24" s="55" t="s">
        <v>696</v>
      </c>
      <c r="DZ24" s="55">
        <v>20.93</v>
      </c>
      <c r="EB24" s="54"/>
      <c r="EC24" s="55" t="s">
        <v>710</v>
      </c>
      <c r="ED24" s="55">
        <v>41.41</v>
      </c>
      <c r="EF24" s="54"/>
      <c r="EG24" s="55" t="s">
        <v>710</v>
      </c>
      <c r="EH24" s="55">
        <v>41.41</v>
      </c>
      <c r="EJ24" s="54"/>
      <c r="EK24" s="55" t="s">
        <v>707</v>
      </c>
      <c r="EL24" s="55">
        <v>17.940000000000001</v>
      </c>
      <c r="EN24" s="54"/>
      <c r="ER24" s="54"/>
      <c r="ES24" s="55" t="s">
        <v>709</v>
      </c>
      <c r="ET24" s="55">
        <v>36.83</v>
      </c>
      <c r="EV24" s="54"/>
      <c r="EW24" s="189" t="s">
        <v>778</v>
      </c>
      <c r="EX24" s="189"/>
      <c r="EZ24" s="54"/>
      <c r="FA24" s="1" t="s">
        <v>176</v>
      </c>
      <c r="FB24" s="58"/>
      <c r="FC24" s="59"/>
      <c r="FD24" s="54"/>
      <c r="FH24" s="54"/>
      <c r="FL24" s="54"/>
      <c r="FP24" s="54"/>
      <c r="FT24" s="54"/>
      <c r="FX24" s="54"/>
      <c r="FY24" s="63"/>
      <c r="GB24" s="54"/>
      <c r="GF24" s="54"/>
    </row>
    <row r="25" spans="1:188" ht="14.4">
      <c r="A25" s="58" t="s">
        <v>18</v>
      </c>
      <c r="B25" s="62">
        <v>0</v>
      </c>
      <c r="D25" s="54"/>
      <c r="E25" s="63" t="s">
        <v>710</v>
      </c>
      <c r="F25" s="55">
        <v>41.41</v>
      </c>
      <c r="H25" s="54"/>
      <c r="I25" s="55" t="s">
        <v>697</v>
      </c>
      <c r="J25" s="55">
        <v>23.92</v>
      </c>
      <c r="L25" s="54"/>
      <c r="M25" s="55" t="s">
        <v>710</v>
      </c>
      <c r="N25" s="55">
        <v>41.41</v>
      </c>
      <c r="P25" s="54"/>
      <c r="Q25" s="58" t="s">
        <v>561</v>
      </c>
      <c r="R25" s="59">
        <v>8.5695999999999994</v>
      </c>
      <c r="T25" s="54"/>
      <c r="U25" s="58" t="s">
        <v>865</v>
      </c>
      <c r="V25" s="59">
        <v>25.708799999999997</v>
      </c>
      <c r="X25" s="54"/>
      <c r="Y25" s="21" t="s">
        <v>778</v>
      </c>
      <c r="Z25" s="21"/>
      <c r="AB25" s="54"/>
      <c r="AC25" s="69" t="s">
        <v>13</v>
      </c>
      <c r="AD25" s="70"/>
      <c r="AF25" s="54"/>
      <c r="AG25" s="55" t="s">
        <v>697</v>
      </c>
      <c r="AH25" s="55">
        <v>23.92</v>
      </c>
      <c r="AJ25" s="54"/>
      <c r="AK25" s="55" t="s">
        <v>697</v>
      </c>
      <c r="AL25" s="55">
        <v>23.92</v>
      </c>
      <c r="AN25" s="54"/>
      <c r="AO25" s="55" t="s">
        <v>697</v>
      </c>
      <c r="AP25" s="55">
        <v>23.92</v>
      </c>
      <c r="AR25" s="54"/>
      <c r="AS25" s="55" t="s">
        <v>697</v>
      </c>
      <c r="AT25" s="55">
        <v>23.92</v>
      </c>
      <c r="AV25" s="54"/>
      <c r="AW25" s="55" t="s">
        <v>697</v>
      </c>
      <c r="AX25" s="55">
        <v>23.92</v>
      </c>
      <c r="AZ25" s="54"/>
      <c r="BA25" s="55" t="s">
        <v>697</v>
      </c>
      <c r="BB25" s="55">
        <v>23.92</v>
      </c>
      <c r="BD25" s="54"/>
      <c r="BE25" s="55" t="s">
        <v>697</v>
      </c>
      <c r="BF25" s="55">
        <v>23.92</v>
      </c>
      <c r="BH25" s="54"/>
      <c r="BI25" s="55" t="s">
        <v>697</v>
      </c>
      <c r="BJ25" s="55">
        <v>23.92</v>
      </c>
      <c r="BL25" s="54"/>
      <c r="BM25" s="55" t="s">
        <v>697</v>
      </c>
      <c r="BN25" s="55">
        <v>23.92</v>
      </c>
      <c r="BP25" s="54"/>
      <c r="BQ25" s="58" t="s">
        <v>760</v>
      </c>
      <c r="BR25" s="56">
        <v>4.18</v>
      </c>
      <c r="BT25" s="54"/>
      <c r="BU25" s="55" t="s">
        <v>710</v>
      </c>
      <c r="BV25" s="55">
        <v>41.41</v>
      </c>
      <c r="BX25" s="54"/>
      <c r="BY25" s="58" t="s">
        <v>727</v>
      </c>
      <c r="BZ25" s="62">
        <v>17.139199999999999</v>
      </c>
      <c r="CB25" s="54"/>
      <c r="CF25" s="54"/>
      <c r="CJ25" s="54"/>
      <c r="CK25" s="55" t="s">
        <v>696</v>
      </c>
      <c r="CL25" s="55">
        <v>20.93</v>
      </c>
      <c r="CN25" s="54"/>
      <c r="CR25" s="54"/>
      <c r="CS25" s="55" t="s">
        <v>707</v>
      </c>
      <c r="CT25" s="55">
        <v>17.940000000000001</v>
      </c>
      <c r="CV25" s="54"/>
      <c r="CW25" s="55" t="s">
        <v>696</v>
      </c>
      <c r="CX25" s="55">
        <v>20.93</v>
      </c>
      <c r="CZ25" s="54"/>
      <c r="DA25" s="55" t="s">
        <v>710</v>
      </c>
      <c r="DB25" s="55">
        <v>41.41</v>
      </c>
      <c r="DD25" s="54"/>
      <c r="DE25" s="55" t="s">
        <v>696</v>
      </c>
      <c r="DF25" s="55">
        <v>20.93</v>
      </c>
      <c r="DH25" s="54"/>
      <c r="DI25" s="55" t="s">
        <v>697</v>
      </c>
      <c r="DJ25" s="55">
        <v>23.92</v>
      </c>
      <c r="DL25" s="54"/>
      <c r="DM25" s="55" t="s">
        <v>693</v>
      </c>
      <c r="DN25" s="55">
        <v>2.99</v>
      </c>
      <c r="DP25" s="54"/>
      <c r="DQ25" s="55" t="s">
        <v>721</v>
      </c>
      <c r="DR25" s="55">
        <v>27.67</v>
      </c>
      <c r="DT25" s="54"/>
      <c r="DU25" s="55" t="s">
        <v>722</v>
      </c>
      <c r="DV25" s="55">
        <v>32.25</v>
      </c>
      <c r="DX25" s="54"/>
      <c r="DY25" s="55" t="s">
        <v>710</v>
      </c>
      <c r="DZ25" s="55">
        <v>41.41</v>
      </c>
      <c r="EB25" s="54"/>
      <c r="EC25" s="55" t="s">
        <v>697</v>
      </c>
      <c r="ED25" s="55">
        <v>23.92</v>
      </c>
      <c r="EF25" s="54"/>
      <c r="EG25" s="55" t="s">
        <v>697</v>
      </c>
      <c r="EH25" s="55">
        <v>23.92</v>
      </c>
      <c r="EJ25" s="54"/>
      <c r="EK25" s="55" t="s">
        <v>709</v>
      </c>
      <c r="EL25" s="55">
        <v>36.83</v>
      </c>
      <c r="EN25" s="54"/>
      <c r="ER25" s="54"/>
      <c r="ES25" s="55" t="s">
        <v>696</v>
      </c>
      <c r="ET25" s="55">
        <v>20.93</v>
      </c>
      <c r="EV25" s="54"/>
      <c r="EW25" s="58" t="s">
        <v>783</v>
      </c>
      <c r="EX25" s="56">
        <v>1.46</v>
      </c>
      <c r="EZ25" s="54"/>
      <c r="FA25" s="1" t="s">
        <v>175</v>
      </c>
      <c r="FB25" s="58"/>
      <c r="FC25" s="59"/>
      <c r="FD25" s="54"/>
      <c r="FH25" s="54"/>
      <c r="FL25" s="54"/>
      <c r="FP25" s="54"/>
      <c r="FT25" s="54"/>
      <c r="FX25" s="54"/>
      <c r="GB25" s="54"/>
      <c r="GF25" s="54"/>
    </row>
    <row r="26" spans="1:188" ht="14.4">
      <c r="A26" s="58" t="s">
        <v>412</v>
      </c>
      <c r="B26" s="62">
        <v>0</v>
      </c>
      <c r="D26" s="54"/>
      <c r="E26" s="55" t="s">
        <v>697</v>
      </c>
      <c r="F26" s="55">
        <v>23.92</v>
      </c>
      <c r="H26" s="54"/>
      <c r="I26" s="55" t="s">
        <v>711</v>
      </c>
      <c r="J26" s="55">
        <v>45.99</v>
      </c>
      <c r="L26" s="54"/>
      <c r="M26" s="55" t="s">
        <v>697</v>
      </c>
      <c r="N26" s="55">
        <v>23.92</v>
      </c>
      <c r="P26" s="54"/>
      <c r="Q26" s="58" t="s">
        <v>677</v>
      </c>
      <c r="R26" s="59">
        <v>12.854399999999998</v>
      </c>
      <c r="T26" s="54"/>
      <c r="U26" s="58" t="s">
        <v>60</v>
      </c>
      <c r="V26" s="59">
        <v>27.851199999999999</v>
      </c>
      <c r="X26" s="54"/>
      <c r="Y26" s="72" t="s">
        <v>845</v>
      </c>
      <c r="Z26" s="56"/>
      <c r="AB26" s="54"/>
      <c r="AC26" s="69" t="s">
        <v>786</v>
      </c>
      <c r="AD26" s="70"/>
      <c r="AF26" s="54"/>
      <c r="AG26" s="55" t="s">
        <v>711</v>
      </c>
      <c r="AH26" s="55">
        <v>45.99</v>
      </c>
      <c r="AJ26" s="54"/>
      <c r="AK26" s="55" t="s">
        <v>711</v>
      </c>
      <c r="AL26" s="55">
        <v>45.99</v>
      </c>
      <c r="AN26" s="54"/>
      <c r="AO26" s="55" t="s">
        <v>711</v>
      </c>
      <c r="AP26" s="55">
        <v>45.99</v>
      </c>
      <c r="AR26" s="54"/>
      <c r="AS26" s="55" t="s">
        <v>711</v>
      </c>
      <c r="AT26" s="55">
        <v>45.99</v>
      </c>
      <c r="AV26" s="54"/>
      <c r="AW26" s="55" t="s">
        <v>711</v>
      </c>
      <c r="AX26" s="55">
        <v>45.99</v>
      </c>
      <c r="AZ26" s="54"/>
      <c r="BA26" s="55" t="s">
        <v>711</v>
      </c>
      <c r="BB26" s="55">
        <v>45.99</v>
      </c>
      <c r="BD26" s="54"/>
      <c r="BE26" s="55" t="s">
        <v>711</v>
      </c>
      <c r="BF26" s="55">
        <v>45.99</v>
      </c>
      <c r="BH26" s="54"/>
      <c r="BI26" s="55" t="s">
        <v>711</v>
      </c>
      <c r="BJ26" s="55">
        <v>45.99</v>
      </c>
      <c r="BL26" s="54"/>
      <c r="BM26" s="55" t="s">
        <v>711</v>
      </c>
      <c r="BN26" s="55">
        <v>45.99</v>
      </c>
      <c r="BP26" s="54"/>
      <c r="BQ26" s="58" t="s">
        <v>761</v>
      </c>
      <c r="BR26" s="58">
        <v>4.18</v>
      </c>
      <c r="BT26" s="54"/>
      <c r="BU26" s="55" t="s">
        <v>697</v>
      </c>
      <c r="BV26" s="55">
        <v>23.92</v>
      </c>
      <c r="BX26" s="54"/>
      <c r="BY26" s="58" t="s">
        <v>728</v>
      </c>
      <c r="BZ26" s="62">
        <v>23.566399999999998</v>
      </c>
      <c r="CB26" s="54"/>
      <c r="CF26" s="54"/>
      <c r="CJ26" s="54"/>
      <c r="CK26" s="55" t="s">
        <v>710</v>
      </c>
      <c r="CL26" s="55">
        <v>41.41</v>
      </c>
      <c r="CN26" s="54"/>
      <c r="CR26" s="54"/>
      <c r="CS26" s="55" t="s">
        <v>709</v>
      </c>
      <c r="CT26" s="55">
        <v>36.83</v>
      </c>
      <c r="CV26" s="54"/>
      <c r="CW26" s="55" t="s">
        <v>710</v>
      </c>
      <c r="CX26" s="55">
        <v>41.41</v>
      </c>
      <c r="CZ26" s="54"/>
      <c r="DA26" s="55" t="s">
        <v>697</v>
      </c>
      <c r="DB26" s="55">
        <v>23.92</v>
      </c>
      <c r="DD26" s="54"/>
      <c r="DE26" s="55" t="s">
        <v>710</v>
      </c>
      <c r="DF26" s="55">
        <v>41.41</v>
      </c>
      <c r="DH26" s="54"/>
      <c r="DI26" s="55" t="s">
        <v>711</v>
      </c>
      <c r="DJ26" s="55">
        <v>45.99</v>
      </c>
      <c r="DL26" s="54"/>
      <c r="DM26" s="55" t="s">
        <v>718</v>
      </c>
      <c r="DN26" s="55">
        <v>13.93</v>
      </c>
      <c r="DP26" s="54"/>
      <c r="DQ26" s="55" t="s">
        <v>706</v>
      </c>
      <c r="DR26" s="55">
        <v>14.95</v>
      </c>
      <c r="DT26" s="54"/>
      <c r="DU26" s="55" t="s">
        <v>707</v>
      </c>
      <c r="DV26" s="55">
        <v>17.940000000000001</v>
      </c>
      <c r="DX26" s="54"/>
      <c r="DY26" s="55" t="s">
        <v>697</v>
      </c>
      <c r="DZ26" s="55">
        <v>23.92</v>
      </c>
      <c r="EB26" s="54"/>
      <c r="EC26" s="55" t="s">
        <v>711</v>
      </c>
      <c r="ED26" s="55">
        <v>45.99</v>
      </c>
      <c r="EF26" s="54"/>
      <c r="EG26" s="55" t="s">
        <v>711</v>
      </c>
      <c r="EH26" s="55">
        <v>45.99</v>
      </c>
      <c r="EJ26" s="54"/>
      <c r="EK26" s="55" t="s">
        <v>696</v>
      </c>
      <c r="EL26" s="55">
        <v>20.93</v>
      </c>
      <c r="EN26" s="54"/>
      <c r="ER26" s="54"/>
      <c r="ES26" s="55" t="s">
        <v>710</v>
      </c>
      <c r="ET26" s="55">
        <v>41.41</v>
      </c>
      <c r="EV26" s="54"/>
      <c r="EW26" s="58" t="s">
        <v>780</v>
      </c>
      <c r="EX26" s="56">
        <v>2.5499999999999998</v>
      </c>
      <c r="EZ26" s="54"/>
      <c r="FA26" s="1" t="s">
        <v>174</v>
      </c>
      <c r="FB26" s="58"/>
      <c r="FC26" s="59"/>
      <c r="FD26" s="54"/>
      <c r="FH26" s="54"/>
      <c r="FL26" s="54"/>
      <c r="FP26" s="54"/>
      <c r="FT26" s="54"/>
      <c r="FX26" s="54"/>
      <c r="GB26" s="54"/>
      <c r="GF26" s="54"/>
    </row>
    <row r="27" spans="1:188" ht="14.4">
      <c r="A27" s="58" t="s">
        <v>409</v>
      </c>
      <c r="B27" s="62">
        <v>0</v>
      </c>
      <c r="D27" s="54"/>
      <c r="E27" s="55" t="s">
        <v>711</v>
      </c>
      <c r="F27" s="55">
        <v>45.99</v>
      </c>
      <c r="H27" s="54"/>
      <c r="I27" s="55" t="s">
        <v>698</v>
      </c>
      <c r="J27" s="55">
        <v>26.91</v>
      </c>
      <c r="L27" s="54"/>
      <c r="M27" s="55" t="s">
        <v>711</v>
      </c>
      <c r="N27" s="55">
        <v>45.99</v>
      </c>
      <c r="P27" s="54"/>
      <c r="Q27" s="58" t="s">
        <v>552</v>
      </c>
      <c r="R27" s="59">
        <v>12.854399999999998</v>
      </c>
      <c r="T27" s="54"/>
      <c r="U27" s="58" t="s">
        <v>1007</v>
      </c>
      <c r="V27" s="59">
        <v>29.993599999999997</v>
      </c>
      <c r="X27" s="54"/>
      <c r="Y27" s="72" t="s">
        <v>844</v>
      </c>
      <c r="Z27" s="56"/>
      <c r="AB27" s="54"/>
      <c r="AC27" s="71" t="s">
        <v>29</v>
      </c>
      <c r="AD27" s="70"/>
      <c r="AF27" s="54"/>
      <c r="AG27" s="55" t="s">
        <v>698</v>
      </c>
      <c r="AH27" s="55">
        <v>26.91</v>
      </c>
      <c r="AJ27" s="54"/>
      <c r="AK27" s="55" t="s">
        <v>698</v>
      </c>
      <c r="AL27" s="55">
        <v>26.91</v>
      </c>
      <c r="AN27" s="54"/>
      <c r="AO27" s="55" t="s">
        <v>698</v>
      </c>
      <c r="AP27" s="55">
        <v>26.91</v>
      </c>
      <c r="AR27" s="54"/>
      <c r="AS27" s="55" t="s">
        <v>698</v>
      </c>
      <c r="AT27" s="55">
        <v>26.91</v>
      </c>
      <c r="AV27" s="54"/>
      <c r="AW27" s="55" t="s">
        <v>698</v>
      </c>
      <c r="AX27" s="55">
        <v>26.91</v>
      </c>
      <c r="AZ27" s="54"/>
      <c r="BA27" s="55" t="s">
        <v>698</v>
      </c>
      <c r="BB27" s="55">
        <v>26.91</v>
      </c>
      <c r="BD27" s="54"/>
      <c r="BE27" s="55" t="s">
        <v>698</v>
      </c>
      <c r="BF27" s="55">
        <v>26.91</v>
      </c>
      <c r="BH27" s="54"/>
      <c r="BI27" s="55" t="s">
        <v>698</v>
      </c>
      <c r="BJ27" s="55">
        <v>26.91</v>
      </c>
      <c r="BL27" s="54"/>
      <c r="BM27" s="55" t="s">
        <v>698</v>
      </c>
      <c r="BN27" s="55">
        <v>26.91</v>
      </c>
      <c r="BP27" s="54"/>
      <c r="BQ27" s="58" t="s">
        <v>769</v>
      </c>
      <c r="BR27" s="58">
        <v>-2</v>
      </c>
      <c r="BT27" s="54"/>
      <c r="BU27" s="55" t="s">
        <v>711</v>
      </c>
      <c r="BV27" s="55">
        <v>45.99</v>
      </c>
      <c r="BX27" s="54"/>
      <c r="BY27" s="58" t="s">
        <v>729</v>
      </c>
      <c r="BZ27" s="62">
        <v>29.993599999999997</v>
      </c>
      <c r="CB27" s="54"/>
      <c r="CF27" s="54"/>
      <c r="CJ27" s="54"/>
      <c r="CK27" s="55" t="s">
        <v>697</v>
      </c>
      <c r="CL27" s="55">
        <v>23.92</v>
      </c>
      <c r="CN27" s="54"/>
      <c r="CR27" s="54"/>
      <c r="CS27" s="55" t="s">
        <v>696</v>
      </c>
      <c r="CT27" s="55">
        <v>20.93</v>
      </c>
      <c r="CV27" s="54"/>
      <c r="CW27" s="55" t="s">
        <v>697</v>
      </c>
      <c r="CX27" s="55">
        <v>23.92</v>
      </c>
      <c r="CZ27" s="54"/>
      <c r="DA27" s="55" t="s">
        <v>711</v>
      </c>
      <c r="DB27" s="55">
        <v>45.99</v>
      </c>
      <c r="DD27" s="54"/>
      <c r="DE27" s="55" t="s">
        <v>697</v>
      </c>
      <c r="DF27" s="55">
        <v>23.92</v>
      </c>
      <c r="DH27" s="54"/>
      <c r="DI27" s="55" t="s">
        <v>698</v>
      </c>
      <c r="DJ27" s="55">
        <v>26.91</v>
      </c>
      <c r="DL27" s="54"/>
      <c r="DM27" s="55" t="s">
        <v>694</v>
      </c>
      <c r="DN27" s="55">
        <v>5.98</v>
      </c>
      <c r="DP27" s="54"/>
      <c r="DQ27" s="55" t="s">
        <v>722</v>
      </c>
      <c r="DR27" s="55">
        <v>32.25</v>
      </c>
      <c r="DT27" s="54"/>
      <c r="DU27" s="55" t="s">
        <v>709</v>
      </c>
      <c r="DV27" s="55">
        <v>36.83</v>
      </c>
      <c r="DX27" s="54"/>
      <c r="DY27" s="55" t="s">
        <v>711</v>
      </c>
      <c r="DZ27" s="55">
        <v>45.99</v>
      </c>
      <c r="EB27" s="54"/>
      <c r="EC27" s="55" t="s">
        <v>698</v>
      </c>
      <c r="ED27" s="55">
        <v>26.91</v>
      </c>
      <c r="EF27" s="54"/>
      <c r="EG27" s="55" t="s">
        <v>698</v>
      </c>
      <c r="EH27" s="55">
        <v>26.91</v>
      </c>
      <c r="EJ27" s="54"/>
      <c r="EK27" s="55" t="s">
        <v>710</v>
      </c>
      <c r="EL27" s="55">
        <v>41.41</v>
      </c>
      <c r="EN27" s="54"/>
      <c r="ER27" s="54"/>
      <c r="ES27" s="55" t="s">
        <v>697</v>
      </c>
      <c r="ET27" s="55">
        <v>23.92</v>
      </c>
      <c r="EV27" s="54"/>
      <c r="EW27" s="189" t="s">
        <v>839</v>
      </c>
      <c r="EX27" s="189"/>
      <c r="EZ27" s="54"/>
      <c r="FA27" s="1" t="s">
        <v>173</v>
      </c>
      <c r="FB27" s="58"/>
      <c r="FC27" s="59"/>
      <c r="FD27" s="54"/>
      <c r="FH27" s="54"/>
      <c r="FL27" s="54"/>
      <c r="FP27" s="54"/>
      <c r="FT27" s="54"/>
      <c r="FX27" s="54"/>
      <c r="GB27" s="54"/>
      <c r="GF27" s="54"/>
    </row>
    <row r="28" spans="1:188" ht="14.4">
      <c r="A28" s="58" t="s">
        <v>406</v>
      </c>
      <c r="B28" s="62">
        <v>0</v>
      </c>
      <c r="D28" s="54"/>
      <c r="E28" s="55" t="s">
        <v>698</v>
      </c>
      <c r="F28" s="55">
        <v>26.91</v>
      </c>
      <c r="H28" s="54"/>
      <c r="I28" s="55" t="s">
        <v>712</v>
      </c>
      <c r="J28" s="55">
        <v>50.57</v>
      </c>
      <c r="L28" s="54"/>
      <c r="M28" s="55" t="s">
        <v>698</v>
      </c>
      <c r="N28" s="55">
        <v>26.91</v>
      </c>
      <c r="P28" s="54"/>
      <c r="Q28" s="58" t="s">
        <v>547</v>
      </c>
      <c r="R28" s="59">
        <v>12.854399999999998</v>
      </c>
      <c r="T28" s="54"/>
      <c r="U28" s="58" t="s">
        <v>1004</v>
      </c>
      <c r="V28" s="59">
        <v>32.135999999999996</v>
      </c>
      <c r="X28" s="54"/>
      <c r="Y28" s="73" t="s">
        <v>847</v>
      </c>
      <c r="Z28" s="73"/>
      <c r="AB28" s="54"/>
      <c r="AC28" s="69" t="s">
        <v>30</v>
      </c>
      <c r="AD28" s="70"/>
      <c r="AF28" s="54"/>
      <c r="AG28" s="55" t="s">
        <v>712</v>
      </c>
      <c r="AH28" s="55">
        <v>50.57</v>
      </c>
      <c r="AJ28" s="54"/>
      <c r="AK28" s="55" t="s">
        <v>712</v>
      </c>
      <c r="AL28" s="55">
        <v>50.57</v>
      </c>
      <c r="AN28" s="54"/>
      <c r="AO28" s="55" t="s">
        <v>712</v>
      </c>
      <c r="AP28" s="55">
        <v>50.57</v>
      </c>
      <c r="AR28" s="54"/>
      <c r="AS28" s="55" t="s">
        <v>712</v>
      </c>
      <c r="AT28" s="55">
        <v>50.57</v>
      </c>
      <c r="AV28" s="54"/>
      <c r="AW28" s="55" t="s">
        <v>712</v>
      </c>
      <c r="AX28" s="55">
        <v>50.57</v>
      </c>
      <c r="AZ28" s="54"/>
      <c r="BA28" s="55" t="s">
        <v>712</v>
      </c>
      <c r="BB28" s="55">
        <v>50.57</v>
      </c>
      <c r="BD28" s="54"/>
      <c r="BE28" s="55" t="s">
        <v>712</v>
      </c>
      <c r="BF28" s="55">
        <v>50.57</v>
      </c>
      <c r="BH28" s="54"/>
      <c r="BI28" s="55" t="s">
        <v>712</v>
      </c>
      <c r="BJ28" s="55">
        <v>50.57</v>
      </c>
      <c r="BL28" s="54"/>
      <c r="BM28" s="55" t="s">
        <v>712</v>
      </c>
      <c r="BN28" s="55">
        <v>50.57</v>
      </c>
      <c r="BP28" s="54"/>
      <c r="BQ28" s="189" t="s">
        <v>739</v>
      </c>
      <c r="BR28" s="189"/>
      <c r="BT28" s="54"/>
      <c r="BU28" s="55" t="s">
        <v>698</v>
      </c>
      <c r="BV28" s="55">
        <v>26.91</v>
      </c>
      <c r="BX28" s="54"/>
      <c r="BY28" s="189" t="s">
        <v>736</v>
      </c>
      <c r="BZ28" s="189"/>
      <c r="CB28" s="54"/>
      <c r="CF28" s="54"/>
      <c r="CJ28" s="54"/>
      <c r="CK28" s="55" t="s">
        <v>711</v>
      </c>
      <c r="CL28" s="55">
        <v>45.99</v>
      </c>
      <c r="CN28" s="54"/>
      <c r="CR28" s="54"/>
      <c r="CS28" s="55" t="s">
        <v>710</v>
      </c>
      <c r="CT28" s="55">
        <v>41.41</v>
      </c>
      <c r="CV28" s="54"/>
      <c r="CW28" s="55" t="s">
        <v>711</v>
      </c>
      <c r="CX28" s="55">
        <v>45.99</v>
      </c>
      <c r="CZ28" s="54"/>
      <c r="DA28" s="55" t="s">
        <v>698</v>
      </c>
      <c r="DB28" s="55">
        <v>26.91</v>
      </c>
      <c r="DD28" s="54"/>
      <c r="DE28" s="55" t="s">
        <v>711</v>
      </c>
      <c r="DF28" s="55">
        <v>45.99</v>
      </c>
      <c r="DH28" s="54"/>
      <c r="DI28" s="55" t="s">
        <v>712</v>
      </c>
      <c r="DJ28" s="55">
        <v>50.57</v>
      </c>
      <c r="DL28" s="54"/>
      <c r="DM28" s="55" t="s">
        <v>719</v>
      </c>
      <c r="DN28" s="55">
        <v>18.510000000000002</v>
      </c>
      <c r="DP28" s="54"/>
      <c r="DQ28" s="55" t="s">
        <v>707</v>
      </c>
      <c r="DR28" s="55">
        <v>17.940000000000001</v>
      </c>
      <c r="DT28" s="54"/>
      <c r="DU28" s="55" t="s">
        <v>696</v>
      </c>
      <c r="DV28" s="55">
        <v>20.93</v>
      </c>
      <c r="DX28" s="54"/>
      <c r="DY28" s="55" t="s">
        <v>698</v>
      </c>
      <c r="DZ28" s="55">
        <v>26.91</v>
      </c>
      <c r="EB28" s="54"/>
      <c r="EC28" s="55" t="s">
        <v>712</v>
      </c>
      <c r="ED28" s="55">
        <v>50.57</v>
      </c>
      <c r="EF28" s="54"/>
      <c r="EG28" s="55" t="s">
        <v>712</v>
      </c>
      <c r="EH28" s="55">
        <v>50.57</v>
      </c>
      <c r="EJ28" s="54"/>
      <c r="EK28" s="55" t="s">
        <v>697</v>
      </c>
      <c r="EL28" s="55">
        <v>23.92</v>
      </c>
      <c r="EN28" s="54"/>
      <c r="ER28" s="54"/>
      <c r="ES28" s="55" t="s">
        <v>711</v>
      </c>
      <c r="ET28" s="55">
        <v>45.99</v>
      </c>
      <c r="EV28" s="54"/>
      <c r="EW28" s="58" t="s">
        <v>863</v>
      </c>
      <c r="EX28" s="62">
        <v>3.17</v>
      </c>
      <c r="EZ28" s="54"/>
      <c r="FA28" s="1" t="s">
        <v>103</v>
      </c>
      <c r="FB28" s="58"/>
      <c r="FC28" s="59"/>
      <c r="FD28" s="54"/>
      <c r="FH28" s="54"/>
      <c r="FL28" s="54"/>
      <c r="FP28" s="54"/>
      <c r="FT28" s="54"/>
      <c r="FX28" s="54"/>
      <c r="GB28" s="54"/>
      <c r="GF28" s="54"/>
    </row>
    <row r="29" spans="1:188" ht="14.4">
      <c r="A29" s="58" t="s">
        <v>403</v>
      </c>
      <c r="B29" s="62">
        <v>0</v>
      </c>
      <c r="D29" s="54"/>
      <c r="E29" s="55" t="s">
        <v>712</v>
      </c>
      <c r="F29" s="55">
        <v>50.57</v>
      </c>
      <c r="H29" s="54"/>
      <c r="I29" s="55" t="s">
        <v>699</v>
      </c>
      <c r="J29" s="55">
        <v>29.9</v>
      </c>
      <c r="L29" s="54"/>
      <c r="M29" s="55" t="s">
        <v>712</v>
      </c>
      <c r="N29" s="55">
        <v>50.57</v>
      </c>
      <c r="P29" s="54"/>
      <c r="Q29" s="58" t="s">
        <v>543</v>
      </c>
      <c r="R29" s="59">
        <v>12.854399999999998</v>
      </c>
      <c r="T29" s="54"/>
      <c r="U29" s="189" t="s">
        <v>778</v>
      </c>
      <c r="V29" s="189"/>
      <c r="X29" s="54"/>
      <c r="Y29" s="74" t="s">
        <v>846</v>
      </c>
      <c r="Z29" s="75"/>
      <c r="AB29" s="54"/>
      <c r="AC29" s="21" t="s">
        <v>778</v>
      </c>
      <c r="AD29" s="21"/>
      <c r="AF29" s="54"/>
      <c r="AG29" s="55" t="s">
        <v>699</v>
      </c>
      <c r="AH29" s="55">
        <v>29.9</v>
      </c>
      <c r="AJ29" s="54"/>
      <c r="AK29" s="55" t="s">
        <v>699</v>
      </c>
      <c r="AL29" s="55">
        <v>29.9</v>
      </c>
      <c r="AN29" s="54"/>
      <c r="AO29" s="55" t="s">
        <v>699</v>
      </c>
      <c r="AP29" s="55">
        <v>29.9</v>
      </c>
      <c r="AR29" s="54"/>
      <c r="AS29" s="55" t="s">
        <v>699</v>
      </c>
      <c r="AT29" s="55">
        <v>29.9</v>
      </c>
      <c r="AV29" s="54"/>
      <c r="AW29" s="55" t="s">
        <v>699</v>
      </c>
      <c r="AX29" s="55">
        <v>29.9</v>
      </c>
      <c r="AZ29" s="54"/>
      <c r="BA29" s="55" t="s">
        <v>699</v>
      </c>
      <c r="BB29" s="55">
        <v>29.9</v>
      </c>
      <c r="BD29" s="54"/>
      <c r="BE29" s="55" t="s">
        <v>699</v>
      </c>
      <c r="BF29" s="55">
        <v>29.9</v>
      </c>
      <c r="BH29" s="54"/>
      <c r="BI29" s="55" t="s">
        <v>699</v>
      </c>
      <c r="BJ29" s="55">
        <v>29.9</v>
      </c>
      <c r="BL29" s="54"/>
      <c r="BM29" s="55" t="s">
        <v>699</v>
      </c>
      <c r="BN29" s="55">
        <v>29.9</v>
      </c>
      <c r="BP29" s="54"/>
      <c r="BQ29" s="58" t="s">
        <v>730</v>
      </c>
      <c r="BR29" s="61">
        <v>2.2709440000000001</v>
      </c>
      <c r="BT29" s="54"/>
      <c r="BU29" s="55" t="s">
        <v>712</v>
      </c>
      <c r="BV29" s="55">
        <v>50.57</v>
      </c>
      <c r="BX29" s="54"/>
      <c r="BY29" s="58" t="s">
        <v>758</v>
      </c>
      <c r="BZ29" s="56">
        <v>0</v>
      </c>
      <c r="CB29" s="54"/>
      <c r="CF29" s="54"/>
      <c r="CJ29" s="54"/>
      <c r="CK29" s="55" t="s">
        <v>698</v>
      </c>
      <c r="CL29" s="55">
        <v>26.91</v>
      </c>
      <c r="CN29" s="54"/>
      <c r="CR29" s="54"/>
      <c r="CS29" s="55" t="s">
        <v>697</v>
      </c>
      <c r="CT29" s="55">
        <v>23.92</v>
      </c>
      <c r="CV29" s="54"/>
      <c r="CW29" s="55" t="s">
        <v>698</v>
      </c>
      <c r="CX29" s="55">
        <v>26.91</v>
      </c>
      <c r="CZ29" s="54"/>
      <c r="DA29" s="55" t="s">
        <v>712</v>
      </c>
      <c r="DB29" s="55">
        <v>50.57</v>
      </c>
      <c r="DD29" s="54"/>
      <c r="DE29" s="55" t="s">
        <v>698</v>
      </c>
      <c r="DF29" s="55">
        <v>26.91</v>
      </c>
      <c r="DH29" s="54"/>
      <c r="DI29" s="55" t="s">
        <v>699</v>
      </c>
      <c r="DJ29" s="55">
        <v>29.9</v>
      </c>
      <c r="DL29" s="54"/>
      <c r="DM29" s="55" t="s">
        <v>704</v>
      </c>
      <c r="DN29" s="55">
        <v>8.9700000000000006</v>
      </c>
      <c r="DP29" s="54"/>
      <c r="DQ29" s="55" t="s">
        <v>709</v>
      </c>
      <c r="DR29" s="55">
        <v>36.83</v>
      </c>
      <c r="DT29" s="54"/>
      <c r="DU29" s="55" t="s">
        <v>710</v>
      </c>
      <c r="DV29" s="55">
        <v>41.41</v>
      </c>
      <c r="DX29" s="54"/>
      <c r="DY29" s="55" t="s">
        <v>712</v>
      </c>
      <c r="DZ29" s="55">
        <v>50.57</v>
      </c>
      <c r="EB29" s="54"/>
      <c r="EC29" s="55" t="s">
        <v>699</v>
      </c>
      <c r="ED29" s="55">
        <v>29.9</v>
      </c>
      <c r="EF29" s="54"/>
      <c r="EG29" s="55" t="s">
        <v>699</v>
      </c>
      <c r="EH29" s="55">
        <v>29.9</v>
      </c>
      <c r="EJ29" s="54"/>
      <c r="EK29" s="55" t="s">
        <v>711</v>
      </c>
      <c r="EL29" s="55">
        <v>45.99</v>
      </c>
      <c r="EN29" s="54"/>
      <c r="ER29" s="54"/>
      <c r="ES29" s="55" t="s">
        <v>698</v>
      </c>
      <c r="ET29" s="55">
        <v>26.91</v>
      </c>
      <c r="EV29" s="54"/>
      <c r="EW29" s="58" t="s">
        <v>840</v>
      </c>
      <c r="EX29" s="62">
        <v>6.2</v>
      </c>
      <c r="EZ29" s="54"/>
      <c r="FA29" s="1" t="s">
        <v>104</v>
      </c>
      <c r="FB29" s="58"/>
      <c r="FC29" s="59"/>
      <c r="FD29" s="54"/>
      <c r="FH29" s="54"/>
      <c r="FL29" s="54"/>
      <c r="FP29" s="54"/>
      <c r="FT29" s="54"/>
      <c r="FX29" s="54"/>
      <c r="GB29" s="54"/>
      <c r="GF29" s="54"/>
    </row>
    <row r="30" spans="1:188" ht="14.4">
      <c r="A30" s="58" t="s">
        <v>400</v>
      </c>
      <c r="B30" s="62">
        <v>0</v>
      </c>
      <c r="D30" s="54"/>
      <c r="E30" s="55" t="s">
        <v>699</v>
      </c>
      <c r="F30" s="55">
        <v>29.9</v>
      </c>
      <c r="H30" s="54"/>
      <c r="I30" s="55" t="s">
        <v>713</v>
      </c>
      <c r="J30" s="55">
        <v>55.15</v>
      </c>
      <c r="L30" s="54"/>
      <c r="M30" s="55" t="s">
        <v>699</v>
      </c>
      <c r="N30" s="55">
        <v>29.9</v>
      </c>
      <c r="P30" s="54"/>
      <c r="Q30" s="58" t="s">
        <v>678</v>
      </c>
      <c r="R30" s="59">
        <v>17.139199999999999</v>
      </c>
      <c r="T30" s="54"/>
      <c r="U30" s="58" t="s">
        <v>783</v>
      </c>
      <c r="V30" s="56">
        <v>1.46</v>
      </c>
      <c r="X30" s="54"/>
      <c r="Y30" s="21" t="s">
        <v>838</v>
      </c>
      <c r="Z30" s="21"/>
      <c r="AB30" s="54"/>
      <c r="AC30" s="72" t="s">
        <v>845</v>
      </c>
      <c r="AD30" s="56"/>
      <c r="AF30" s="54"/>
      <c r="AG30" s="55" t="s">
        <v>713</v>
      </c>
      <c r="AH30" s="55">
        <v>55.15</v>
      </c>
      <c r="AJ30" s="54"/>
      <c r="AK30" s="55" t="s">
        <v>713</v>
      </c>
      <c r="AL30" s="55">
        <v>55.15</v>
      </c>
      <c r="AN30" s="54"/>
      <c r="AO30" s="55" t="s">
        <v>713</v>
      </c>
      <c r="AP30" s="55">
        <v>55.15</v>
      </c>
      <c r="AR30" s="54"/>
      <c r="AS30" s="55" t="s">
        <v>713</v>
      </c>
      <c r="AT30" s="55">
        <v>55.15</v>
      </c>
      <c r="AV30" s="54"/>
      <c r="AW30" s="55" t="s">
        <v>713</v>
      </c>
      <c r="AX30" s="55">
        <v>55.15</v>
      </c>
      <c r="AZ30" s="54"/>
      <c r="BA30" s="55" t="s">
        <v>713</v>
      </c>
      <c r="BB30" s="55">
        <v>55.15</v>
      </c>
      <c r="BD30" s="54"/>
      <c r="BE30" s="55" t="s">
        <v>713</v>
      </c>
      <c r="BF30" s="55">
        <v>55.15</v>
      </c>
      <c r="BH30" s="54"/>
      <c r="BI30" s="55" t="s">
        <v>713</v>
      </c>
      <c r="BJ30" s="55">
        <v>55.15</v>
      </c>
      <c r="BL30" s="54"/>
      <c r="BM30" s="55" t="s">
        <v>713</v>
      </c>
      <c r="BN30" s="55">
        <v>55.15</v>
      </c>
      <c r="BP30" s="54"/>
      <c r="BQ30" s="58" t="s">
        <v>13</v>
      </c>
      <c r="BR30" s="61">
        <v>0</v>
      </c>
      <c r="BT30" s="54"/>
      <c r="BU30" s="55" t="s">
        <v>699</v>
      </c>
      <c r="BV30" s="55">
        <v>29.9</v>
      </c>
      <c r="BX30" s="54"/>
      <c r="BY30" s="58" t="s">
        <v>759</v>
      </c>
      <c r="BZ30" s="56">
        <v>0</v>
      </c>
      <c r="CB30" s="54"/>
      <c r="CF30" s="54"/>
      <c r="CJ30" s="54"/>
      <c r="CK30" s="55" t="s">
        <v>712</v>
      </c>
      <c r="CL30" s="55">
        <v>50.57</v>
      </c>
      <c r="CN30" s="54"/>
      <c r="CR30" s="54"/>
      <c r="CS30" s="55" t="s">
        <v>711</v>
      </c>
      <c r="CT30" s="55">
        <v>45.99</v>
      </c>
      <c r="CV30" s="54"/>
      <c r="CW30" s="55" t="s">
        <v>712</v>
      </c>
      <c r="CX30" s="55">
        <v>50.57</v>
      </c>
      <c r="CZ30" s="54"/>
      <c r="DA30" s="55" t="s">
        <v>699</v>
      </c>
      <c r="DB30" s="55">
        <v>29.9</v>
      </c>
      <c r="DD30" s="54"/>
      <c r="DE30" s="55" t="s">
        <v>712</v>
      </c>
      <c r="DF30" s="55">
        <v>50.57</v>
      </c>
      <c r="DH30" s="54"/>
      <c r="DI30" s="55" t="s">
        <v>713</v>
      </c>
      <c r="DJ30" s="55">
        <v>55.15</v>
      </c>
      <c r="DL30" s="54"/>
      <c r="DM30" s="55" t="s">
        <v>720</v>
      </c>
      <c r="DN30" s="55">
        <v>23.09</v>
      </c>
      <c r="DP30" s="54"/>
      <c r="DQ30" s="55" t="s">
        <v>696</v>
      </c>
      <c r="DR30" s="55">
        <v>20.93</v>
      </c>
      <c r="DT30" s="54"/>
      <c r="DU30" s="55" t="s">
        <v>697</v>
      </c>
      <c r="DV30" s="55">
        <v>23.92</v>
      </c>
      <c r="DX30" s="54"/>
      <c r="DY30" s="55" t="s">
        <v>699</v>
      </c>
      <c r="DZ30" s="55">
        <v>29.9</v>
      </c>
      <c r="EB30" s="54"/>
      <c r="EC30" s="55" t="s">
        <v>713</v>
      </c>
      <c r="ED30" s="55">
        <v>55.15</v>
      </c>
      <c r="EF30" s="54"/>
      <c r="EG30" s="55" t="s">
        <v>713</v>
      </c>
      <c r="EH30" s="55">
        <v>55.15</v>
      </c>
      <c r="EJ30" s="54"/>
      <c r="EK30" s="55" t="s">
        <v>698</v>
      </c>
      <c r="EL30" s="55">
        <v>26.91</v>
      </c>
      <c r="EN30" s="54"/>
      <c r="ER30" s="54"/>
      <c r="ES30" s="55" t="s">
        <v>712</v>
      </c>
      <c r="ET30" s="55">
        <v>50.57</v>
      </c>
      <c r="EV30" s="54"/>
      <c r="EZ30" s="54"/>
      <c r="FA30" s="189" t="s">
        <v>736</v>
      </c>
      <c r="FB30" s="189"/>
      <c r="FD30" s="54"/>
      <c r="FH30" s="54"/>
      <c r="FL30" s="54"/>
      <c r="FP30" s="54"/>
      <c r="FT30" s="54"/>
      <c r="FX30" s="54"/>
      <c r="GB30" s="54"/>
      <c r="GF30" s="54"/>
    </row>
    <row r="31" spans="1:188" ht="14.4">
      <c r="A31" s="58" t="s">
        <v>399</v>
      </c>
      <c r="B31" s="62">
        <v>0</v>
      </c>
      <c r="D31" s="54"/>
      <c r="E31" s="55" t="s">
        <v>713</v>
      </c>
      <c r="F31" s="55">
        <v>55.15</v>
      </c>
      <c r="H31" s="54"/>
      <c r="I31" s="55" t="s">
        <v>700</v>
      </c>
      <c r="J31" s="55">
        <v>32.89</v>
      </c>
      <c r="L31" s="54"/>
      <c r="M31" s="55" t="s">
        <v>713</v>
      </c>
      <c r="N31" s="55">
        <v>55.15</v>
      </c>
      <c r="P31" s="54"/>
      <c r="Q31" s="58" t="s">
        <v>536</v>
      </c>
      <c r="R31" s="59">
        <v>17.139199999999999</v>
      </c>
      <c r="T31" s="54"/>
      <c r="U31" s="58" t="s">
        <v>780</v>
      </c>
      <c r="V31" s="56">
        <v>2.5499999999999998</v>
      </c>
      <c r="X31" s="54"/>
      <c r="Y31" s="58" t="s">
        <v>830</v>
      </c>
      <c r="Z31" s="58"/>
      <c r="AB31" s="54"/>
      <c r="AC31" s="72" t="s">
        <v>844</v>
      </c>
      <c r="AD31" s="56"/>
      <c r="AF31" s="54"/>
      <c r="AG31" s="55" t="s">
        <v>700</v>
      </c>
      <c r="AH31" s="55">
        <v>32.89</v>
      </c>
      <c r="AJ31" s="54"/>
      <c r="AK31" s="55" t="s">
        <v>700</v>
      </c>
      <c r="AL31" s="55">
        <v>32.89</v>
      </c>
      <c r="AN31" s="54"/>
      <c r="AO31" s="55" t="s">
        <v>700</v>
      </c>
      <c r="AP31" s="55">
        <v>32.89</v>
      </c>
      <c r="AR31" s="54"/>
      <c r="AS31" s="55" t="s">
        <v>700</v>
      </c>
      <c r="AT31" s="55">
        <v>32.89</v>
      </c>
      <c r="AV31" s="54"/>
      <c r="AW31" s="55" t="s">
        <v>700</v>
      </c>
      <c r="AX31" s="55">
        <v>32.89</v>
      </c>
      <c r="AZ31" s="54"/>
      <c r="BA31" s="55" t="s">
        <v>700</v>
      </c>
      <c r="BB31" s="55">
        <v>32.89</v>
      </c>
      <c r="BD31" s="54"/>
      <c r="BE31" s="55" t="s">
        <v>700</v>
      </c>
      <c r="BF31" s="55">
        <v>32.89</v>
      </c>
      <c r="BH31" s="54"/>
      <c r="BI31" s="55" t="s">
        <v>700</v>
      </c>
      <c r="BJ31" s="55">
        <v>32.89</v>
      </c>
      <c r="BL31" s="54"/>
      <c r="BM31" s="55" t="s">
        <v>700</v>
      </c>
      <c r="BN31" s="55">
        <v>32.89</v>
      </c>
      <c r="BP31" s="54"/>
      <c r="BQ31" s="58" t="s">
        <v>786</v>
      </c>
      <c r="BR31" s="61">
        <v>-0.94265599999999994</v>
      </c>
      <c r="BT31" s="54"/>
      <c r="BU31" s="55" t="s">
        <v>713</v>
      </c>
      <c r="BV31" s="55">
        <v>55.15</v>
      </c>
      <c r="BX31" s="54"/>
      <c r="BY31" s="58" t="s">
        <v>760</v>
      </c>
      <c r="BZ31" s="56">
        <v>4.18</v>
      </c>
      <c r="CB31" s="54"/>
      <c r="CF31" s="54"/>
      <c r="CJ31" s="54"/>
      <c r="CK31" s="55" t="s">
        <v>699</v>
      </c>
      <c r="CL31" s="55">
        <v>29.9</v>
      </c>
      <c r="CN31" s="54"/>
      <c r="CR31" s="54"/>
      <c r="CS31" s="55" t="s">
        <v>698</v>
      </c>
      <c r="CT31" s="55">
        <v>26.91</v>
      </c>
      <c r="CV31" s="54"/>
      <c r="CW31" s="55" t="s">
        <v>699</v>
      </c>
      <c r="CX31" s="55">
        <v>29.9</v>
      </c>
      <c r="CZ31" s="54"/>
      <c r="DA31" s="55" t="s">
        <v>713</v>
      </c>
      <c r="DB31" s="55">
        <v>55.15</v>
      </c>
      <c r="DD31" s="54"/>
      <c r="DE31" s="55" t="s">
        <v>699</v>
      </c>
      <c r="DF31" s="55">
        <v>29.9</v>
      </c>
      <c r="DH31" s="54"/>
      <c r="DI31" s="55" t="s">
        <v>700</v>
      </c>
      <c r="DJ31" s="55">
        <v>32.89</v>
      </c>
      <c r="DL31" s="54"/>
      <c r="DM31" s="55" t="s">
        <v>705</v>
      </c>
      <c r="DN31" s="55">
        <v>11.96</v>
      </c>
      <c r="DP31" s="54"/>
      <c r="DQ31" s="55" t="s">
        <v>710</v>
      </c>
      <c r="DR31" s="55">
        <v>41.41</v>
      </c>
      <c r="DT31" s="54"/>
      <c r="DU31" s="55" t="s">
        <v>711</v>
      </c>
      <c r="DV31" s="55">
        <v>45.99</v>
      </c>
      <c r="DX31" s="54"/>
      <c r="DY31" s="55" t="s">
        <v>713</v>
      </c>
      <c r="DZ31" s="55">
        <v>55.15</v>
      </c>
      <c r="EB31" s="54"/>
      <c r="EC31" s="55" t="s">
        <v>700</v>
      </c>
      <c r="ED31" s="55">
        <v>32.89</v>
      </c>
      <c r="EF31" s="54"/>
      <c r="EG31" s="55" t="s">
        <v>700</v>
      </c>
      <c r="EH31" s="55">
        <v>32.89</v>
      </c>
      <c r="EJ31" s="54"/>
      <c r="EK31" s="55" t="s">
        <v>712</v>
      </c>
      <c r="EL31" s="55">
        <v>50.57</v>
      </c>
      <c r="EN31" s="54"/>
      <c r="ER31" s="54"/>
      <c r="ES31" s="55" t="s">
        <v>699</v>
      </c>
      <c r="ET31" s="55">
        <v>29.9</v>
      </c>
      <c r="EV31" s="54"/>
      <c r="EZ31" s="54"/>
      <c r="FA31" s="5" t="s">
        <v>750</v>
      </c>
      <c r="FB31" s="61"/>
      <c r="FD31" s="54"/>
      <c r="FH31" s="54"/>
      <c r="FL31" s="54"/>
      <c r="FP31" s="54"/>
      <c r="FT31" s="54"/>
      <c r="FX31" s="54"/>
      <c r="GB31" s="54"/>
      <c r="GF31" s="54"/>
    </row>
    <row r="32" spans="1:188" ht="14.4">
      <c r="A32" s="58" t="s">
        <v>398</v>
      </c>
      <c r="B32" s="62">
        <v>0</v>
      </c>
      <c r="D32" s="54"/>
      <c r="E32" s="55" t="s">
        <v>700</v>
      </c>
      <c r="F32" s="55">
        <v>32.89</v>
      </c>
      <c r="H32" s="54"/>
      <c r="I32" s="55" t="s">
        <v>714</v>
      </c>
      <c r="J32" s="55">
        <v>59.73</v>
      </c>
      <c r="L32" s="54"/>
      <c r="M32" s="55" t="s">
        <v>700</v>
      </c>
      <c r="N32" s="55">
        <v>32.89</v>
      </c>
      <c r="P32" s="54"/>
      <c r="Q32" s="58" t="s">
        <v>679</v>
      </c>
      <c r="R32" s="59">
        <v>24.637599999999999</v>
      </c>
      <c r="T32" s="54"/>
      <c r="U32" s="189" t="s">
        <v>834</v>
      </c>
      <c r="V32" s="189"/>
      <c r="X32" s="54"/>
      <c r="Y32" s="58" t="s">
        <v>740</v>
      </c>
      <c r="Z32" s="58"/>
      <c r="AB32" s="54"/>
      <c r="AC32" s="73" t="s">
        <v>847</v>
      </c>
      <c r="AD32" s="73"/>
      <c r="AF32" s="54"/>
      <c r="AG32" s="55" t="s">
        <v>714</v>
      </c>
      <c r="AH32" s="55">
        <v>59.73</v>
      </c>
      <c r="AJ32" s="54"/>
      <c r="AK32" s="55" t="s">
        <v>714</v>
      </c>
      <c r="AL32" s="55">
        <v>59.73</v>
      </c>
      <c r="AN32" s="54"/>
      <c r="AO32" s="55" t="s">
        <v>714</v>
      </c>
      <c r="AP32" s="55">
        <v>59.73</v>
      </c>
      <c r="AR32" s="54"/>
      <c r="AS32" s="55" t="s">
        <v>714</v>
      </c>
      <c r="AT32" s="55">
        <v>59.73</v>
      </c>
      <c r="AV32" s="54"/>
      <c r="AW32" s="55" t="s">
        <v>714</v>
      </c>
      <c r="AX32" s="55">
        <v>59.73</v>
      </c>
      <c r="AZ32" s="54"/>
      <c r="BA32" s="55" t="s">
        <v>714</v>
      </c>
      <c r="BB32" s="55">
        <v>59.73</v>
      </c>
      <c r="BD32" s="54"/>
      <c r="BE32" s="55" t="s">
        <v>714</v>
      </c>
      <c r="BF32" s="55">
        <v>59.73</v>
      </c>
      <c r="BH32" s="54"/>
      <c r="BI32" s="55" t="s">
        <v>714</v>
      </c>
      <c r="BJ32" s="55">
        <v>59.73</v>
      </c>
      <c r="BL32" s="54"/>
      <c r="BM32" s="55" t="s">
        <v>714</v>
      </c>
      <c r="BN32" s="55">
        <v>59.73</v>
      </c>
      <c r="BP32" s="54"/>
      <c r="BQ32" s="58" t="s">
        <v>1363</v>
      </c>
      <c r="BR32" s="61">
        <v>2.1423999999999999</v>
      </c>
      <c r="BT32" s="54"/>
      <c r="BU32" s="55" t="s">
        <v>700</v>
      </c>
      <c r="BV32" s="55">
        <v>32.89</v>
      </c>
      <c r="BX32" s="54"/>
      <c r="BY32" s="58" t="s">
        <v>761</v>
      </c>
      <c r="BZ32" s="58">
        <v>4.18</v>
      </c>
      <c r="CB32" s="54"/>
      <c r="CF32" s="54"/>
      <c r="CJ32" s="54"/>
      <c r="CK32" s="55" t="s">
        <v>713</v>
      </c>
      <c r="CL32" s="55">
        <v>55.15</v>
      </c>
      <c r="CN32" s="54"/>
      <c r="CR32" s="54"/>
      <c r="CS32" s="55" t="s">
        <v>712</v>
      </c>
      <c r="CT32" s="55">
        <v>50.57</v>
      </c>
      <c r="CV32" s="54"/>
      <c r="CW32" s="55" t="s">
        <v>713</v>
      </c>
      <c r="CX32" s="55">
        <v>55.15</v>
      </c>
      <c r="CZ32" s="54"/>
      <c r="DA32" s="55" t="s">
        <v>700</v>
      </c>
      <c r="DB32" s="55">
        <v>32.89</v>
      </c>
      <c r="DD32" s="54"/>
      <c r="DE32" s="55" t="s">
        <v>713</v>
      </c>
      <c r="DF32" s="55">
        <v>55.15</v>
      </c>
      <c r="DH32" s="54"/>
      <c r="DI32" s="55" t="s">
        <v>714</v>
      </c>
      <c r="DJ32" s="55">
        <v>59.73</v>
      </c>
      <c r="DL32" s="54"/>
      <c r="DM32" s="55" t="s">
        <v>721</v>
      </c>
      <c r="DN32" s="55">
        <v>27.67</v>
      </c>
      <c r="DP32" s="54"/>
      <c r="DQ32" s="55" t="s">
        <v>697</v>
      </c>
      <c r="DR32" s="55">
        <v>23.92</v>
      </c>
      <c r="DT32" s="54"/>
      <c r="DU32" s="55" t="s">
        <v>698</v>
      </c>
      <c r="DV32" s="55">
        <v>26.91</v>
      </c>
      <c r="DX32" s="54"/>
      <c r="DY32" s="55" t="s">
        <v>700</v>
      </c>
      <c r="DZ32" s="55">
        <v>32.89</v>
      </c>
      <c r="EB32" s="54"/>
      <c r="EC32" s="55" t="s">
        <v>714</v>
      </c>
      <c r="ED32" s="55">
        <v>59.73</v>
      </c>
      <c r="EF32" s="54"/>
      <c r="EG32" s="55" t="s">
        <v>714</v>
      </c>
      <c r="EH32" s="55">
        <v>59.73</v>
      </c>
      <c r="EJ32" s="54"/>
      <c r="EK32" s="55" t="s">
        <v>699</v>
      </c>
      <c r="EL32" s="55">
        <v>29.9</v>
      </c>
      <c r="EN32" s="54"/>
      <c r="ER32" s="54"/>
      <c r="ES32" s="55" t="s">
        <v>713</v>
      </c>
      <c r="ET32" s="55">
        <v>55.15</v>
      </c>
      <c r="EV32" s="54"/>
      <c r="EZ32" s="54"/>
      <c r="FA32" s="5" t="s">
        <v>751</v>
      </c>
      <c r="FB32" s="61"/>
      <c r="FD32" s="54"/>
      <c r="FH32" s="54"/>
      <c r="FL32" s="54"/>
      <c r="FP32" s="54"/>
      <c r="FT32" s="54"/>
      <c r="FX32" s="54"/>
      <c r="GB32" s="54"/>
      <c r="GF32" s="54"/>
    </row>
    <row r="33" spans="1:188" ht="14.4">
      <c r="A33" s="58" t="s">
        <v>19</v>
      </c>
      <c r="B33" s="62">
        <v>4.2847999999999997</v>
      </c>
      <c r="D33" s="54"/>
      <c r="E33" s="55" t="s">
        <v>714</v>
      </c>
      <c r="F33" s="55">
        <v>59.73</v>
      </c>
      <c r="H33" s="54"/>
      <c r="I33" s="55" t="s">
        <v>701</v>
      </c>
      <c r="J33" s="55">
        <v>35.880000000000003</v>
      </c>
      <c r="L33" s="54"/>
      <c r="M33" s="55" t="s">
        <v>714</v>
      </c>
      <c r="N33" s="55">
        <v>59.73</v>
      </c>
      <c r="P33" s="54"/>
      <c r="Q33" s="58" t="s">
        <v>530</v>
      </c>
      <c r="R33" s="59">
        <v>24.637599999999999</v>
      </c>
      <c r="T33" s="54"/>
      <c r="U33" s="56" t="s">
        <v>785</v>
      </c>
      <c r="V33" s="56">
        <v>3.9</v>
      </c>
      <c r="X33" s="54"/>
      <c r="Y33" s="58"/>
      <c r="Z33" s="58"/>
      <c r="AB33" s="54"/>
      <c r="AC33" s="74" t="s">
        <v>846</v>
      </c>
      <c r="AD33" s="75"/>
      <c r="AF33" s="54"/>
      <c r="AG33" s="55" t="s">
        <v>701</v>
      </c>
      <c r="AH33" s="55">
        <v>35.880000000000003</v>
      </c>
      <c r="AJ33" s="54"/>
      <c r="AK33" s="55" t="s">
        <v>701</v>
      </c>
      <c r="AL33" s="55">
        <v>35.880000000000003</v>
      </c>
      <c r="AN33" s="54"/>
      <c r="AO33" s="55" t="s">
        <v>701</v>
      </c>
      <c r="AP33" s="55">
        <v>35.880000000000003</v>
      </c>
      <c r="AR33" s="54"/>
      <c r="AS33" s="55" t="s">
        <v>701</v>
      </c>
      <c r="AT33" s="55">
        <v>35.880000000000003</v>
      </c>
      <c r="AV33" s="54"/>
      <c r="AW33" s="55" t="s">
        <v>701</v>
      </c>
      <c r="AX33" s="55">
        <v>35.880000000000003</v>
      </c>
      <c r="AZ33" s="54"/>
      <c r="BA33" s="55" t="s">
        <v>701</v>
      </c>
      <c r="BB33" s="55">
        <v>35.880000000000003</v>
      </c>
      <c r="BD33" s="54"/>
      <c r="BE33" s="55" t="s">
        <v>701</v>
      </c>
      <c r="BF33" s="55">
        <v>35.880000000000003</v>
      </c>
      <c r="BH33" s="54"/>
      <c r="BI33" s="55" t="s">
        <v>701</v>
      </c>
      <c r="BJ33" s="55">
        <v>35.880000000000003</v>
      </c>
      <c r="BL33" s="54"/>
      <c r="BM33" s="55" t="s">
        <v>701</v>
      </c>
      <c r="BN33" s="55">
        <v>35.880000000000003</v>
      </c>
      <c r="BP33" s="54"/>
      <c r="BQ33" s="189" t="s">
        <v>778</v>
      </c>
      <c r="BR33" s="189"/>
      <c r="BT33" s="54"/>
      <c r="BU33" s="55" t="s">
        <v>714</v>
      </c>
      <c r="BV33" s="55">
        <v>59.73</v>
      </c>
      <c r="BX33" s="54"/>
      <c r="BY33" s="58" t="s">
        <v>765</v>
      </c>
      <c r="BZ33" s="62">
        <v>0</v>
      </c>
      <c r="CB33" s="54"/>
      <c r="CF33" s="54"/>
      <c r="CJ33" s="54"/>
      <c r="CK33" s="55" t="s">
        <v>700</v>
      </c>
      <c r="CL33" s="55">
        <v>32.89</v>
      </c>
      <c r="CN33" s="54"/>
      <c r="CR33" s="54"/>
      <c r="CS33" s="55" t="s">
        <v>699</v>
      </c>
      <c r="CT33" s="55">
        <v>29.9</v>
      </c>
      <c r="CV33" s="54"/>
      <c r="CW33" s="55" t="s">
        <v>700</v>
      </c>
      <c r="CX33" s="55">
        <v>32.89</v>
      </c>
      <c r="CZ33" s="54"/>
      <c r="DA33" s="55" t="s">
        <v>714</v>
      </c>
      <c r="DB33" s="55">
        <v>59.73</v>
      </c>
      <c r="DD33" s="54"/>
      <c r="DE33" s="55" t="s">
        <v>700</v>
      </c>
      <c r="DF33" s="55">
        <v>32.89</v>
      </c>
      <c r="DH33" s="54"/>
      <c r="DI33" s="55" t="s">
        <v>701</v>
      </c>
      <c r="DJ33" s="55">
        <v>35.880000000000003</v>
      </c>
      <c r="DL33" s="54"/>
      <c r="DM33" s="55" t="s">
        <v>706</v>
      </c>
      <c r="DN33" s="55">
        <v>14.95</v>
      </c>
      <c r="DP33" s="54"/>
      <c r="DQ33" s="55" t="s">
        <v>711</v>
      </c>
      <c r="DR33" s="55">
        <v>45.99</v>
      </c>
      <c r="DT33" s="54"/>
      <c r="DU33" s="55" t="s">
        <v>712</v>
      </c>
      <c r="DV33" s="55">
        <v>50.57</v>
      </c>
      <c r="DX33" s="54"/>
      <c r="DY33" s="55" t="s">
        <v>714</v>
      </c>
      <c r="DZ33" s="55">
        <v>59.73</v>
      </c>
      <c r="EB33" s="54"/>
      <c r="EC33" s="55" t="s">
        <v>701</v>
      </c>
      <c r="ED33" s="55">
        <v>35.880000000000003</v>
      </c>
      <c r="EF33" s="54"/>
      <c r="EG33" s="55" t="s">
        <v>701</v>
      </c>
      <c r="EH33" s="55">
        <v>35.880000000000003</v>
      </c>
      <c r="EJ33" s="54"/>
      <c r="EK33" s="55" t="s">
        <v>713</v>
      </c>
      <c r="EL33" s="55">
        <v>55.15</v>
      </c>
      <c r="EN33" s="54"/>
      <c r="ER33" s="54"/>
      <c r="ES33" s="55" t="s">
        <v>700</v>
      </c>
      <c r="ET33" s="55">
        <v>32.89</v>
      </c>
      <c r="EV33" s="54"/>
      <c r="EZ33" s="54"/>
      <c r="FA33" s="5" t="s">
        <v>752</v>
      </c>
      <c r="FB33" s="61"/>
      <c r="FD33" s="54"/>
      <c r="FH33" s="54"/>
      <c r="FL33" s="54"/>
      <c r="FP33" s="54"/>
      <c r="FT33" s="54"/>
      <c r="FX33" s="54"/>
      <c r="GB33" s="54"/>
      <c r="GF33" s="54"/>
    </row>
    <row r="34" spans="1:188" ht="14.4">
      <c r="A34" s="58" t="s">
        <v>397</v>
      </c>
      <c r="B34" s="62">
        <v>4.2847999999999997</v>
      </c>
      <c r="D34" s="54"/>
      <c r="E34" s="55" t="s">
        <v>701</v>
      </c>
      <c r="F34" s="55">
        <v>35.880000000000003</v>
      </c>
      <c r="H34" s="54"/>
      <c r="I34" s="55" t="s">
        <v>560</v>
      </c>
      <c r="J34" s="67">
        <v>-6.4271999999999991</v>
      </c>
      <c r="L34" s="54"/>
      <c r="M34" s="55" t="s">
        <v>701</v>
      </c>
      <c r="N34" s="55">
        <v>35.880000000000003</v>
      </c>
      <c r="P34" s="54"/>
      <c r="Q34" s="58" t="s">
        <v>526</v>
      </c>
      <c r="R34" s="59">
        <v>24.637599999999999</v>
      </c>
      <c r="T34" s="54"/>
      <c r="U34" s="189" t="s">
        <v>855</v>
      </c>
      <c r="V34" s="189"/>
      <c r="X34" s="54"/>
      <c r="Y34" s="58"/>
      <c r="Z34" s="62"/>
      <c r="AB34" s="54"/>
      <c r="AC34" s="21" t="s">
        <v>838</v>
      </c>
      <c r="AD34" s="21"/>
      <c r="AF34" s="54"/>
      <c r="AG34" s="55" t="s">
        <v>560</v>
      </c>
      <c r="AH34" s="67">
        <v>-6.4271999999999991</v>
      </c>
      <c r="AJ34" s="54"/>
      <c r="AK34" s="55" t="s">
        <v>560</v>
      </c>
      <c r="AL34" s="67">
        <v>-6.4271999999999991</v>
      </c>
      <c r="AN34" s="54"/>
      <c r="AO34" s="55" t="s">
        <v>560</v>
      </c>
      <c r="AP34" s="67">
        <v>-6.4271999999999991</v>
      </c>
      <c r="AR34" s="54"/>
      <c r="AS34" s="55" t="s">
        <v>560</v>
      </c>
      <c r="AT34" s="67">
        <v>-6.4271999999999991</v>
      </c>
      <c r="AV34" s="54"/>
      <c r="AW34" s="55" t="s">
        <v>560</v>
      </c>
      <c r="AX34" s="67">
        <v>-6.4271999999999991</v>
      </c>
      <c r="AZ34" s="54"/>
      <c r="BA34" s="55" t="s">
        <v>560</v>
      </c>
      <c r="BB34" s="67">
        <v>-6.4271999999999991</v>
      </c>
      <c r="BD34" s="54"/>
      <c r="BE34" s="55" t="s">
        <v>560</v>
      </c>
      <c r="BF34" s="67">
        <v>-6.4271999999999991</v>
      </c>
      <c r="BH34" s="54"/>
      <c r="BI34" s="55" t="s">
        <v>560</v>
      </c>
      <c r="BJ34" s="67">
        <v>-6.4271999999999991</v>
      </c>
      <c r="BL34" s="54"/>
      <c r="BM34" s="55" t="s">
        <v>560</v>
      </c>
      <c r="BN34" s="67">
        <v>-6.4271999999999991</v>
      </c>
      <c r="BP34" s="54"/>
      <c r="BQ34" s="72" t="s">
        <v>845</v>
      </c>
      <c r="BR34" s="56">
        <v>1.79</v>
      </c>
      <c r="BT34" s="54"/>
      <c r="BU34" s="55" t="s">
        <v>701</v>
      </c>
      <c r="BV34" s="55">
        <v>35.880000000000003</v>
      </c>
      <c r="BX34" s="54"/>
      <c r="BY34" s="58" t="s">
        <v>766</v>
      </c>
      <c r="BZ34" s="58">
        <v>0</v>
      </c>
      <c r="CB34" s="54"/>
      <c r="CF34" s="54"/>
      <c r="CJ34" s="54"/>
      <c r="CK34" s="55" t="s">
        <v>714</v>
      </c>
      <c r="CL34" s="55">
        <v>59.73</v>
      </c>
      <c r="CN34" s="54"/>
      <c r="CR34" s="54"/>
      <c r="CS34" s="55" t="s">
        <v>713</v>
      </c>
      <c r="CT34" s="55">
        <v>55.15</v>
      </c>
      <c r="CV34" s="54"/>
      <c r="CW34" s="55" t="s">
        <v>714</v>
      </c>
      <c r="CX34" s="55">
        <v>59.73</v>
      </c>
      <c r="CZ34" s="54"/>
      <c r="DA34" s="55" t="s">
        <v>701</v>
      </c>
      <c r="DB34" s="55">
        <v>35.880000000000003</v>
      </c>
      <c r="DD34" s="54"/>
      <c r="DE34" s="55" t="s">
        <v>714</v>
      </c>
      <c r="DF34" s="55">
        <v>59.73</v>
      </c>
      <c r="DH34" s="54"/>
      <c r="DI34" s="55" t="s">
        <v>560</v>
      </c>
      <c r="DJ34" s="67">
        <v>-6.4271999999999991</v>
      </c>
      <c r="DL34" s="54"/>
      <c r="DM34" s="55" t="s">
        <v>722</v>
      </c>
      <c r="DN34" s="55">
        <v>32.25</v>
      </c>
      <c r="DP34" s="54"/>
      <c r="DQ34" s="55" t="s">
        <v>698</v>
      </c>
      <c r="DR34" s="55">
        <v>26.91</v>
      </c>
      <c r="DT34" s="54"/>
      <c r="DU34" s="55" t="s">
        <v>699</v>
      </c>
      <c r="DV34" s="55">
        <v>29.9</v>
      </c>
      <c r="DX34" s="54"/>
      <c r="DY34" s="55" t="s">
        <v>701</v>
      </c>
      <c r="DZ34" s="55">
        <v>35.880000000000003</v>
      </c>
      <c r="EB34" s="54"/>
      <c r="EC34" s="55" t="s">
        <v>560</v>
      </c>
      <c r="ED34" s="67">
        <v>-6.4271999999999991</v>
      </c>
      <c r="EF34" s="54"/>
      <c r="EG34" s="55" t="s">
        <v>560</v>
      </c>
      <c r="EH34" s="67">
        <v>-6.4271999999999991</v>
      </c>
      <c r="EJ34" s="54"/>
      <c r="EK34" s="55" t="s">
        <v>700</v>
      </c>
      <c r="EL34" s="55">
        <v>32.89</v>
      </c>
      <c r="EN34" s="54"/>
      <c r="ER34" s="54"/>
      <c r="ES34" s="55" t="s">
        <v>714</v>
      </c>
      <c r="ET34" s="55">
        <v>59.73</v>
      </c>
      <c r="EV34" s="54"/>
      <c r="EZ34" s="54"/>
      <c r="FA34" s="189" t="s">
        <v>778</v>
      </c>
      <c r="FB34" s="189"/>
      <c r="FD34" s="54"/>
      <c r="FH34" s="54"/>
      <c r="FL34" s="54"/>
      <c r="FP34" s="54"/>
      <c r="FT34" s="54"/>
      <c r="FX34" s="54"/>
      <c r="GB34" s="54"/>
      <c r="GF34" s="54"/>
    </row>
    <row r="35" spans="1:188" ht="14.4">
      <c r="A35" s="58" t="s">
        <v>396</v>
      </c>
      <c r="B35" s="62">
        <v>4.2847999999999997</v>
      </c>
      <c r="D35" s="54"/>
      <c r="E35" s="55" t="s">
        <v>560</v>
      </c>
      <c r="F35" s="67">
        <v>-6.4271999999999991</v>
      </c>
      <c r="H35" s="54"/>
      <c r="I35" s="58" t="s">
        <v>542</v>
      </c>
      <c r="J35" s="62">
        <v>3.9527279999999996</v>
      </c>
      <c r="L35" s="54"/>
      <c r="M35" s="55" t="s">
        <v>560</v>
      </c>
      <c r="N35" s="67">
        <v>-6.4271999999999991</v>
      </c>
      <c r="P35" s="54"/>
      <c r="Q35" s="58" t="s">
        <v>522</v>
      </c>
      <c r="R35" s="59">
        <v>24.637599999999999</v>
      </c>
      <c r="T35" s="54"/>
      <c r="U35" s="56" t="s">
        <v>843</v>
      </c>
      <c r="V35" s="56">
        <v>8.15</v>
      </c>
      <c r="X35" s="54"/>
      <c r="AB35" s="54"/>
      <c r="AC35" s="58" t="s">
        <v>830</v>
      </c>
      <c r="AD35" s="58"/>
      <c r="AF35" s="54"/>
      <c r="AG35" s="58" t="s">
        <v>542</v>
      </c>
      <c r="AH35" s="62">
        <v>3.9527279999999996</v>
      </c>
      <c r="AJ35" s="54"/>
      <c r="AK35" s="58" t="s">
        <v>542</v>
      </c>
      <c r="AL35" s="62">
        <v>3.9527279999999996</v>
      </c>
      <c r="AN35" s="54"/>
      <c r="AO35" s="58" t="s">
        <v>542</v>
      </c>
      <c r="AP35" s="62">
        <v>3.9527279999999996</v>
      </c>
      <c r="AR35" s="54"/>
      <c r="AS35" s="58" t="s">
        <v>542</v>
      </c>
      <c r="AT35" s="62">
        <v>3.9527279999999996</v>
      </c>
      <c r="AV35" s="54"/>
      <c r="AW35" s="58" t="s">
        <v>542</v>
      </c>
      <c r="AX35" s="62">
        <v>3.9527279999999996</v>
      </c>
      <c r="AZ35" s="54"/>
      <c r="BA35" s="58" t="s">
        <v>542</v>
      </c>
      <c r="BB35" s="62">
        <v>3.9527279999999996</v>
      </c>
      <c r="BD35" s="54"/>
      <c r="BE35" s="58" t="s">
        <v>542</v>
      </c>
      <c r="BF35" s="62">
        <v>3.9527279999999996</v>
      </c>
      <c r="BH35" s="54"/>
      <c r="BI35" s="58" t="s">
        <v>542</v>
      </c>
      <c r="BJ35" s="62">
        <v>3.9527279999999996</v>
      </c>
      <c r="BL35" s="54"/>
      <c r="BM35" s="58" t="s">
        <v>542</v>
      </c>
      <c r="BN35" s="62">
        <v>3.9527279999999996</v>
      </c>
      <c r="BP35" s="54"/>
      <c r="BQ35" s="72" t="s">
        <v>844</v>
      </c>
      <c r="BR35" s="56">
        <v>2.98</v>
      </c>
      <c r="BT35" s="54"/>
      <c r="BU35" s="55" t="s">
        <v>560</v>
      </c>
      <c r="BV35" s="67">
        <v>-6.4271999999999991</v>
      </c>
      <c r="BX35" s="54"/>
      <c r="BY35" s="58" t="s">
        <v>769</v>
      </c>
      <c r="BZ35" s="58">
        <v>-2</v>
      </c>
      <c r="CB35" s="54"/>
      <c r="CF35" s="54"/>
      <c r="CJ35" s="54"/>
      <c r="CK35" s="55" t="s">
        <v>701</v>
      </c>
      <c r="CL35" s="55">
        <v>35.880000000000003</v>
      </c>
      <c r="CN35" s="54"/>
      <c r="CR35" s="54"/>
      <c r="CS35" s="55" t="s">
        <v>700</v>
      </c>
      <c r="CT35" s="55">
        <v>32.89</v>
      </c>
      <c r="CV35" s="54"/>
      <c r="CW35" s="55" t="s">
        <v>701</v>
      </c>
      <c r="CX35" s="55">
        <v>35.880000000000003</v>
      </c>
      <c r="CZ35" s="54"/>
      <c r="DA35" s="55" t="s">
        <v>560</v>
      </c>
      <c r="DB35" s="67">
        <v>-6.4271999999999991</v>
      </c>
      <c r="DD35" s="54"/>
      <c r="DE35" s="55" t="s">
        <v>701</v>
      </c>
      <c r="DF35" s="55">
        <v>35.880000000000003</v>
      </c>
      <c r="DH35" s="54"/>
      <c r="DI35" s="58" t="s">
        <v>542</v>
      </c>
      <c r="DJ35" s="62">
        <v>3.9527279999999996</v>
      </c>
      <c r="DL35" s="54"/>
      <c r="DM35" s="55" t="s">
        <v>707</v>
      </c>
      <c r="DN35" s="55">
        <v>17.940000000000001</v>
      </c>
      <c r="DP35" s="54"/>
      <c r="DQ35" s="55" t="s">
        <v>712</v>
      </c>
      <c r="DR35" s="55">
        <v>50.57</v>
      </c>
      <c r="DT35" s="54"/>
      <c r="DU35" s="55" t="s">
        <v>713</v>
      </c>
      <c r="DV35" s="55">
        <v>55.15</v>
      </c>
      <c r="DX35" s="54"/>
      <c r="DY35" s="55" t="s">
        <v>560</v>
      </c>
      <c r="DZ35" s="67">
        <v>-6.4271999999999991</v>
      </c>
      <c r="EB35" s="54"/>
      <c r="EC35" s="58" t="s">
        <v>542</v>
      </c>
      <c r="ED35" s="62">
        <v>3.9527279999999996</v>
      </c>
      <c r="EF35" s="54"/>
      <c r="EG35" s="58" t="s">
        <v>542</v>
      </c>
      <c r="EH35" s="62">
        <v>3.9527279999999996</v>
      </c>
      <c r="EJ35" s="54"/>
      <c r="EK35" s="55" t="s">
        <v>714</v>
      </c>
      <c r="EL35" s="55">
        <v>59.73</v>
      </c>
      <c r="EN35" s="54"/>
      <c r="ER35" s="54"/>
      <c r="ES35" s="55" t="s">
        <v>701</v>
      </c>
      <c r="ET35" s="55">
        <v>35.880000000000003</v>
      </c>
      <c r="EV35" s="54"/>
      <c r="EZ35" s="54"/>
      <c r="FA35" s="5" t="s">
        <v>781</v>
      </c>
      <c r="FB35" s="56"/>
      <c r="FD35" s="54"/>
      <c r="FH35" s="54"/>
      <c r="FL35" s="54"/>
      <c r="FP35" s="54"/>
      <c r="FT35" s="54"/>
      <c r="FX35" s="54"/>
      <c r="GB35" s="54"/>
      <c r="GF35" s="54"/>
    </row>
    <row r="36" spans="1:188" ht="14.4">
      <c r="A36" s="58" t="s">
        <v>393</v>
      </c>
      <c r="B36" s="62">
        <v>4.2847999999999997</v>
      </c>
      <c r="D36" s="54"/>
      <c r="E36" s="58" t="s">
        <v>542</v>
      </c>
      <c r="F36" s="62">
        <v>3.9527279999999996</v>
      </c>
      <c r="H36" s="54"/>
      <c r="I36" s="58" t="s">
        <v>508</v>
      </c>
      <c r="J36" s="62">
        <v>-6</v>
      </c>
      <c r="L36" s="54"/>
      <c r="M36" s="58" t="s">
        <v>542</v>
      </c>
      <c r="N36" s="62">
        <v>3.9527279999999996</v>
      </c>
      <c r="P36" s="54"/>
      <c r="Q36" s="58" t="s">
        <v>680</v>
      </c>
      <c r="R36" s="59">
        <v>32.135999999999996</v>
      </c>
      <c r="T36" s="54"/>
      <c r="U36" s="189" t="s">
        <v>839</v>
      </c>
      <c r="V36" s="189"/>
      <c r="X36" s="54"/>
      <c r="AB36" s="54"/>
      <c r="AC36" s="58" t="s">
        <v>740</v>
      </c>
      <c r="AD36" s="58"/>
      <c r="AF36" s="54"/>
      <c r="AG36" s="58" t="s">
        <v>508</v>
      </c>
      <c r="AH36" s="62">
        <v>-6</v>
      </c>
      <c r="AJ36" s="54"/>
      <c r="AK36" s="58" t="s">
        <v>508</v>
      </c>
      <c r="AL36" s="62">
        <v>-6</v>
      </c>
      <c r="AN36" s="54"/>
      <c r="AO36" s="58" t="s">
        <v>508</v>
      </c>
      <c r="AP36" s="62">
        <v>-6</v>
      </c>
      <c r="AR36" s="54"/>
      <c r="AS36" s="58" t="s">
        <v>508</v>
      </c>
      <c r="AT36" s="62">
        <v>-6</v>
      </c>
      <c r="AV36" s="54"/>
      <c r="AW36" s="58" t="s">
        <v>508</v>
      </c>
      <c r="AX36" s="62">
        <v>-6</v>
      </c>
      <c r="AZ36" s="54"/>
      <c r="BA36" s="58" t="s">
        <v>508</v>
      </c>
      <c r="BB36" s="62">
        <v>-6</v>
      </c>
      <c r="BD36" s="54"/>
      <c r="BE36" s="58" t="s">
        <v>508</v>
      </c>
      <c r="BF36" s="62">
        <v>-6</v>
      </c>
      <c r="BH36" s="54"/>
      <c r="BI36" s="58" t="s">
        <v>508</v>
      </c>
      <c r="BJ36" s="62">
        <v>-6</v>
      </c>
      <c r="BL36" s="54"/>
      <c r="BM36" s="58" t="s">
        <v>508</v>
      </c>
      <c r="BN36" s="62">
        <v>-6</v>
      </c>
      <c r="BP36" s="54"/>
      <c r="BQ36" s="189" t="s">
        <v>572</v>
      </c>
      <c r="BR36" s="189"/>
      <c r="BT36" s="54"/>
      <c r="BU36" s="58" t="s">
        <v>542</v>
      </c>
      <c r="BV36" s="62">
        <v>3.9527279999999996</v>
      </c>
      <c r="BX36" s="54"/>
      <c r="BY36" s="189" t="s">
        <v>739</v>
      </c>
      <c r="BZ36" s="189"/>
      <c r="CB36" s="54"/>
      <c r="CF36" s="54"/>
      <c r="CJ36" s="54"/>
      <c r="CK36" s="55" t="s">
        <v>560</v>
      </c>
      <c r="CL36" s="67">
        <v>-6.4271999999999991</v>
      </c>
      <c r="CN36" s="54"/>
      <c r="CR36" s="54"/>
      <c r="CS36" s="55" t="s">
        <v>714</v>
      </c>
      <c r="CT36" s="55">
        <v>59.73</v>
      </c>
      <c r="CV36" s="54"/>
      <c r="CW36" s="55" t="s">
        <v>560</v>
      </c>
      <c r="CX36" s="67">
        <v>-6.4271999999999991</v>
      </c>
      <c r="CZ36" s="54"/>
      <c r="DA36" s="58" t="s">
        <v>542</v>
      </c>
      <c r="DB36" s="62">
        <v>3.9527279999999996</v>
      </c>
      <c r="DD36" s="54"/>
      <c r="DE36" s="55" t="s">
        <v>560</v>
      </c>
      <c r="DF36" s="67">
        <v>-6.4271999999999991</v>
      </c>
      <c r="DH36" s="54"/>
      <c r="DI36" s="58" t="s">
        <v>508</v>
      </c>
      <c r="DJ36" s="62">
        <v>-6</v>
      </c>
      <c r="DL36" s="54"/>
      <c r="DM36" s="55" t="s">
        <v>709</v>
      </c>
      <c r="DN36" s="55">
        <v>36.83</v>
      </c>
      <c r="DP36" s="54"/>
      <c r="DQ36" s="55" t="s">
        <v>699</v>
      </c>
      <c r="DR36" s="55">
        <v>29.9</v>
      </c>
      <c r="DT36" s="54"/>
      <c r="DU36" s="55" t="s">
        <v>700</v>
      </c>
      <c r="DV36" s="55">
        <v>32.89</v>
      </c>
      <c r="DX36" s="54"/>
      <c r="DY36" s="58" t="s">
        <v>542</v>
      </c>
      <c r="DZ36" s="62">
        <v>3.9527279999999996</v>
      </c>
      <c r="EB36" s="54"/>
      <c r="EC36" s="58" t="s">
        <v>508</v>
      </c>
      <c r="ED36" s="62">
        <v>-6</v>
      </c>
      <c r="EF36" s="54"/>
      <c r="EG36" s="58" t="s">
        <v>508</v>
      </c>
      <c r="EH36" s="62">
        <v>-6</v>
      </c>
      <c r="EJ36" s="54"/>
      <c r="EK36" s="55" t="s">
        <v>701</v>
      </c>
      <c r="EL36" s="55">
        <v>35.880000000000003</v>
      </c>
      <c r="EN36" s="54"/>
      <c r="ER36" s="54"/>
      <c r="ES36" s="55" t="s">
        <v>560</v>
      </c>
      <c r="ET36" s="67">
        <v>-6.4271999999999991</v>
      </c>
      <c r="EV36" s="54"/>
      <c r="EZ36" s="54"/>
      <c r="FA36" s="5" t="s">
        <v>782</v>
      </c>
      <c r="FB36" s="56"/>
      <c r="FD36" s="54"/>
      <c r="FH36" s="54"/>
      <c r="FL36" s="54"/>
      <c r="FP36" s="54"/>
      <c r="FT36" s="54"/>
      <c r="FX36" s="54"/>
      <c r="GB36" s="54"/>
      <c r="GF36" s="54"/>
    </row>
    <row r="37" spans="1:188" ht="14.4">
      <c r="A37" s="58" t="s">
        <v>20</v>
      </c>
      <c r="B37" s="62">
        <v>8.5695999999999994</v>
      </c>
      <c r="D37" s="54"/>
      <c r="E37" s="58" t="s">
        <v>508</v>
      </c>
      <c r="F37" s="62">
        <v>-6</v>
      </c>
      <c r="H37" s="54"/>
      <c r="I37" s="74" t="s">
        <v>1104</v>
      </c>
      <c r="J37" s="75">
        <v>-16.97</v>
      </c>
      <c r="L37" s="54"/>
      <c r="M37" s="58" t="s">
        <v>508</v>
      </c>
      <c r="N37" s="62">
        <v>-6</v>
      </c>
      <c r="P37" s="54"/>
      <c r="Q37" s="58" t="s">
        <v>515</v>
      </c>
      <c r="R37" s="59">
        <v>32.135999999999996</v>
      </c>
      <c r="T37" s="54"/>
      <c r="U37" s="58" t="s">
        <v>863</v>
      </c>
      <c r="V37" s="62">
        <v>3.17</v>
      </c>
      <c r="X37" s="54"/>
      <c r="AB37" s="54"/>
      <c r="AC37" s="58"/>
      <c r="AD37" s="58"/>
      <c r="AF37" s="54"/>
      <c r="AG37" s="21" t="s">
        <v>736</v>
      </c>
      <c r="AH37" s="21"/>
      <c r="AJ37" s="54"/>
      <c r="AK37" s="21" t="s">
        <v>736</v>
      </c>
      <c r="AL37" s="21"/>
      <c r="AN37" s="54"/>
      <c r="AO37" s="21" t="s">
        <v>736</v>
      </c>
      <c r="AP37" s="21"/>
      <c r="AR37" s="54"/>
      <c r="AS37" s="21" t="s">
        <v>736</v>
      </c>
      <c r="AT37" s="21"/>
      <c r="AV37" s="54"/>
      <c r="AW37" s="21" t="s">
        <v>736</v>
      </c>
      <c r="AX37" s="21"/>
      <c r="AZ37" s="54"/>
      <c r="BA37" s="21" t="s">
        <v>736</v>
      </c>
      <c r="BB37" s="21"/>
      <c r="BD37" s="54"/>
      <c r="BE37" s="189" t="s">
        <v>739</v>
      </c>
      <c r="BF37" s="189"/>
      <c r="BH37" s="54"/>
      <c r="BI37" s="189" t="s">
        <v>739</v>
      </c>
      <c r="BJ37" s="189"/>
      <c r="BL37" s="54"/>
      <c r="BM37" s="189" t="s">
        <v>739</v>
      </c>
      <c r="BN37" s="189"/>
      <c r="BP37" s="54"/>
      <c r="BQ37" s="77" t="s">
        <v>572</v>
      </c>
      <c r="BR37" s="62">
        <v>2.86</v>
      </c>
      <c r="BT37" s="54"/>
      <c r="BU37" s="58" t="s">
        <v>508</v>
      </c>
      <c r="BV37" s="62">
        <v>-6</v>
      </c>
      <c r="BX37" s="54"/>
      <c r="BY37" s="58" t="s">
        <v>730</v>
      </c>
      <c r="BZ37" s="61">
        <v>2.2709440000000001</v>
      </c>
      <c r="CB37" s="54"/>
      <c r="CF37" s="54"/>
      <c r="CJ37" s="54"/>
      <c r="CK37" s="58" t="s">
        <v>542</v>
      </c>
      <c r="CL37" s="62">
        <v>3.9527279999999996</v>
      </c>
      <c r="CN37" s="54"/>
      <c r="CR37" s="54"/>
      <c r="CS37" s="55" t="s">
        <v>701</v>
      </c>
      <c r="CT37" s="55">
        <v>35.880000000000003</v>
      </c>
      <c r="CV37" s="54"/>
      <c r="CW37" s="58" t="s">
        <v>542</v>
      </c>
      <c r="CX37" s="62">
        <v>3.9527279999999996</v>
      </c>
      <c r="CZ37" s="54"/>
      <c r="DA37" s="58" t="s">
        <v>508</v>
      </c>
      <c r="DB37" s="62">
        <v>-6</v>
      </c>
      <c r="DD37" s="54"/>
      <c r="DE37" s="58" t="s">
        <v>542</v>
      </c>
      <c r="DF37" s="62">
        <v>3.9527279999999996</v>
      </c>
      <c r="DH37" s="54"/>
      <c r="DI37" s="189" t="s">
        <v>739</v>
      </c>
      <c r="DJ37" s="189"/>
      <c r="DL37" s="54"/>
      <c r="DM37" s="55" t="s">
        <v>696</v>
      </c>
      <c r="DN37" s="55">
        <v>20.93</v>
      </c>
      <c r="DP37" s="54"/>
      <c r="DQ37" s="55" t="s">
        <v>713</v>
      </c>
      <c r="DR37" s="55">
        <v>55.15</v>
      </c>
      <c r="DT37" s="54"/>
      <c r="DU37" s="55" t="s">
        <v>714</v>
      </c>
      <c r="DV37" s="55">
        <v>59.73</v>
      </c>
      <c r="DX37" s="54"/>
      <c r="DY37" s="58" t="s">
        <v>508</v>
      </c>
      <c r="DZ37" s="62">
        <v>-6</v>
      </c>
      <c r="EB37" s="54"/>
      <c r="EC37" s="189" t="s">
        <v>739</v>
      </c>
      <c r="ED37" s="189"/>
      <c r="EF37" s="54"/>
      <c r="EG37" s="189" t="s">
        <v>739</v>
      </c>
      <c r="EH37" s="189"/>
      <c r="EJ37" s="54"/>
      <c r="EK37" s="55" t="s">
        <v>560</v>
      </c>
      <c r="EL37" s="67">
        <v>-6.4271999999999991</v>
      </c>
      <c r="EN37" s="54"/>
      <c r="ER37" s="54"/>
      <c r="ES37" s="58" t="s">
        <v>542</v>
      </c>
      <c r="ET37" s="62">
        <v>3.9527279999999996</v>
      </c>
      <c r="EV37" s="54"/>
      <c r="EZ37" s="54"/>
      <c r="FA37" s="190" t="s">
        <v>835</v>
      </c>
      <c r="FB37" s="190"/>
      <c r="FD37" s="54"/>
      <c r="FH37" s="54"/>
      <c r="FL37" s="54"/>
      <c r="FP37" s="54"/>
      <c r="FT37" s="54"/>
      <c r="FX37" s="54"/>
      <c r="GB37" s="54"/>
      <c r="GF37" s="54"/>
    </row>
    <row r="38" spans="1:188" ht="14.4">
      <c r="A38" s="58" t="s">
        <v>388</v>
      </c>
      <c r="B38" s="62">
        <v>8.5695999999999994</v>
      </c>
      <c r="D38" s="54"/>
      <c r="E38" s="74" t="s">
        <v>1104</v>
      </c>
      <c r="F38" s="75">
        <v>-16.97</v>
      </c>
      <c r="H38" s="54"/>
      <c r="I38" s="189" t="s">
        <v>734</v>
      </c>
      <c r="J38" s="189"/>
      <c r="L38" s="54"/>
      <c r="M38" s="74" t="s">
        <v>1104</v>
      </c>
      <c r="N38" s="75">
        <v>-16.97</v>
      </c>
      <c r="P38" s="54"/>
      <c r="Q38" s="58" t="s">
        <v>681</v>
      </c>
      <c r="R38" s="59">
        <v>39.634399999999999</v>
      </c>
      <c r="T38" s="54"/>
      <c r="X38" s="54"/>
      <c r="AB38" s="54"/>
      <c r="AC38" s="58"/>
      <c r="AD38" s="62"/>
      <c r="AF38" s="54"/>
      <c r="AG38" s="58" t="s">
        <v>747</v>
      </c>
      <c r="AH38" s="61">
        <v>0</v>
      </c>
      <c r="AJ38" s="54"/>
      <c r="AK38" s="58" t="s">
        <v>747</v>
      </c>
      <c r="AL38" s="61">
        <v>0</v>
      </c>
      <c r="AN38" s="54"/>
      <c r="AO38" s="58" t="s">
        <v>747</v>
      </c>
      <c r="AP38" s="61">
        <v>0</v>
      </c>
      <c r="AR38" s="54"/>
      <c r="AS38" s="58" t="s">
        <v>747</v>
      </c>
      <c r="AT38" s="61">
        <v>0</v>
      </c>
      <c r="AV38" s="54"/>
      <c r="AW38" s="58" t="s">
        <v>747</v>
      </c>
      <c r="AX38" s="61">
        <v>0</v>
      </c>
      <c r="AZ38" s="54"/>
      <c r="BA38" s="58" t="s">
        <v>747</v>
      </c>
      <c r="BB38" s="61">
        <v>0</v>
      </c>
      <c r="BD38" s="54"/>
      <c r="BE38" s="69" t="s">
        <v>730</v>
      </c>
      <c r="BF38" s="70">
        <v>2.2709440000000001</v>
      </c>
      <c r="BH38" s="54"/>
      <c r="BI38" s="69" t="s">
        <v>730</v>
      </c>
      <c r="BJ38" s="70">
        <v>2.2709440000000001</v>
      </c>
      <c r="BL38" s="54"/>
      <c r="BM38" s="69" t="s">
        <v>13</v>
      </c>
      <c r="BN38" s="70">
        <v>0</v>
      </c>
      <c r="BP38" s="54"/>
      <c r="BQ38" s="189" t="s">
        <v>838</v>
      </c>
      <c r="BR38" s="189"/>
      <c r="BT38" s="54"/>
      <c r="BU38" s="74" t="s">
        <v>1105</v>
      </c>
      <c r="BV38" s="75">
        <v>-12.73</v>
      </c>
      <c r="BX38" s="54"/>
      <c r="BY38" s="58" t="s">
        <v>13</v>
      </c>
      <c r="BZ38" s="61">
        <v>0</v>
      </c>
      <c r="CB38" s="54"/>
      <c r="CF38" s="54"/>
      <c r="CJ38" s="54"/>
      <c r="CK38" s="58" t="s">
        <v>508</v>
      </c>
      <c r="CL38" s="62">
        <v>-6</v>
      </c>
      <c r="CN38" s="54"/>
      <c r="CR38" s="54"/>
      <c r="CS38" s="55" t="s">
        <v>560</v>
      </c>
      <c r="CT38" s="67">
        <v>-6.4271999999999991</v>
      </c>
      <c r="CV38" s="54"/>
      <c r="CW38" s="58" t="s">
        <v>508</v>
      </c>
      <c r="CX38" s="62">
        <v>-6</v>
      </c>
      <c r="CZ38" s="54"/>
      <c r="DA38" s="189" t="s">
        <v>739</v>
      </c>
      <c r="DB38" s="189"/>
      <c r="DD38" s="54"/>
      <c r="DE38" s="58" t="s">
        <v>508</v>
      </c>
      <c r="DF38" s="62">
        <v>-6</v>
      </c>
      <c r="DH38" s="54"/>
      <c r="DI38" s="58" t="s">
        <v>730</v>
      </c>
      <c r="DJ38" s="61">
        <v>2.2709440000000001</v>
      </c>
      <c r="DL38" s="54"/>
      <c r="DM38" s="55" t="s">
        <v>710</v>
      </c>
      <c r="DN38" s="55">
        <v>41.41</v>
      </c>
      <c r="DP38" s="54"/>
      <c r="DQ38" s="55" t="s">
        <v>700</v>
      </c>
      <c r="DR38" s="55">
        <v>32.89</v>
      </c>
      <c r="DT38" s="54"/>
      <c r="DU38" s="55" t="s">
        <v>701</v>
      </c>
      <c r="DV38" s="55">
        <v>35.880000000000003</v>
      </c>
      <c r="DX38" s="54"/>
      <c r="DY38" s="189" t="s">
        <v>739</v>
      </c>
      <c r="DZ38" s="189"/>
      <c r="EB38" s="54"/>
      <c r="EC38" s="58" t="s">
        <v>730</v>
      </c>
      <c r="ED38" s="61">
        <v>2.2709440000000001</v>
      </c>
      <c r="EF38" s="54"/>
      <c r="EG38" s="58" t="s">
        <v>730</v>
      </c>
      <c r="EH38" s="61">
        <v>2.2709440000000001</v>
      </c>
      <c r="EJ38" s="54"/>
      <c r="EK38" s="58" t="s">
        <v>542</v>
      </c>
      <c r="EL38" s="62">
        <v>3.9527279999999996</v>
      </c>
      <c r="EN38" s="54"/>
      <c r="ER38" s="54"/>
      <c r="ES38" s="58" t="s">
        <v>508</v>
      </c>
      <c r="ET38" s="62">
        <v>-6</v>
      </c>
      <c r="EV38" s="54"/>
      <c r="EZ38" s="54"/>
      <c r="FA38" s="1" t="s">
        <v>690</v>
      </c>
      <c r="FB38" s="3"/>
      <c r="FD38" s="54"/>
      <c r="FH38" s="54"/>
      <c r="FL38" s="54"/>
      <c r="FP38" s="54"/>
      <c r="FT38" s="54"/>
      <c r="FX38" s="54"/>
      <c r="GB38" s="54"/>
      <c r="GF38" s="54"/>
    </row>
    <row r="39" spans="1:188" ht="14.4">
      <c r="A39" s="58" t="s">
        <v>385</v>
      </c>
      <c r="B39" s="62">
        <v>8.5695999999999994</v>
      </c>
      <c r="D39" s="54"/>
      <c r="E39" s="189" t="s">
        <v>734</v>
      </c>
      <c r="F39" s="189"/>
      <c r="H39" s="53" t="s">
        <v>827</v>
      </c>
      <c r="I39" s="58" t="s">
        <v>302</v>
      </c>
      <c r="J39" s="58"/>
      <c r="L39" s="54"/>
      <c r="M39" s="189" t="s">
        <v>734</v>
      </c>
      <c r="N39" s="189"/>
      <c r="P39" s="54"/>
      <c r="Q39" s="58" t="s">
        <v>509</v>
      </c>
      <c r="R39" s="59">
        <v>39.634399999999999</v>
      </c>
      <c r="T39" s="54"/>
      <c r="X39" s="54"/>
      <c r="AB39" s="54"/>
      <c r="AF39" s="54"/>
      <c r="AG39" s="58" t="s">
        <v>691</v>
      </c>
      <c r="AH39" s="61">
        <v>3.3421439999999998</v>
      </c>
      <c r="AJ39" s="54"/>
      <c r="AK39" s="58" t="s">
        <v>691</v>
      </c>
      <c r="AL39" s="61">
        <v>3.3421439999999998</v>
      </c>
      <c r="AN39" s="54"/>
      <c r="AO39" s="58" t="s">
        <v>691</v>
      </c>
      <c r="AP39" s="61">
        <v>3.3421439999999998</v>
      </c>
      <c r="AR39" s="54"/>
      <c r="AS39" s="58" t="s">
        <v>691</v>
      </c>
      <c r="AT39" s="61">
        <v>3.3421439999999998</v>
      </c>
      <c r="AV39" s="54"/>
      <c r="AW39" s="58" t="s">
        <v>691</v>
      </c>
      <c r="AX39" s="61">
        <v>3.3421439999999998</v>
      </c>
      <c r="AZ39" s="54"/>
      <c r="BA39" s="58" t="s">
        <v>691</v>
      </c>
      <c r="BB39" s="61">
        <v>3.3421439999999998</v>
      </c>
      <c r="BD39" s="54"/>
      <c r="BE39" s="69" t="s">
        <v>13</v>
      </c>
      <c r="BF39" s="70">
        <v>0</v>
      </c>
      <c r="BH39" s="54"/>
      <c r="BI39" s="69" t="s">
        <v>13</v>
      </c>
      <c r="BJ39" s="70">
        <v>0</v>
      </c>
      <c r="BL39" s="54"/>
      <c r="BM39" s="69" t="s">
        <v>786</v>
      </c>
      <c r="BN39" s="70">
        <v>-0.94265599999999994</v>
      </c>
      <c r="BP39" s="54"/>
      <c r="BQ39" s="58" t="s">
        <v>830</v>
      </c>
      <c r="BR39" s="58">
        <v>10.5</v>
      </c>
      <c r="BT39" s="54"/>
      <c r="BU39" s="189" t="s">
        <v>736</v>
      </c>
      <c r="BV39" s="189"/>
      <c r="BX39" s="54"/>
      <c r="BY39" s="58" t="s">
        <v>786</v>
      </c>
      <c r="BZ39" s="61">
        <v>-0.94265599999999994</v>
      </c>
      <c r="CB39" s="54"/>
      <c r="CF39" s="54"/>
      <c r="CJ39" s="54"/>
      <c r="CK39" s="189" t="s">
        <v>739</v>
      </c>
      <c r="CL39" s="189"/>
      <c r="CN39" s="54"/>
      <c r="CR39" s="54"/>
      <c r="CS39" s="58" t="s">
        <v>542</v>
      </c>
      <c r="CT39" s="62">
        <v>3.9527279999999996</v>
      </c>
      <c r="CV39" s="54"/>
      <c r="CW39" s="189" t="s">
        <v>739</v>
      </c>
      <c r="CX39" s="189"/>
      <c r="CZ39" s="54"/>
      <c r="DA39" s="58" t="s">
        <v>730</v>
      </c>
      <c r="DB39" s="61">
        <v>2.2709440000000001</v>
      </c>
      <c r="DD39" s="54"/>
      <c r="DE39" s="189" t="s">
        <v>739</v>
      </c>
      <c r="DF39" s="189"/>
      <c r="DH39" s="54"/>
      <c r="DI39" s="58" t="s">
        <v>13</v>
      </c>
      <c r="DJ39" s="61">
        <v>0</v>
      </c>
      <c r="DL39" s="54"/>
      <c r="DM39" s="55" t="s">
        <v>697</v>
      </c>
      <c r="DN39" s="55">
        <v>23.92</v>
      </c>
      <c r="DP39" s="54"/>
      <c r="DQ39" s="55" t="s">
        <v>714</v>
      </c>
      <c r="DR39" s="55">
        <v>59.73</v>
      </c>
      <c r="DT39" s="54"/>
      <c r="DU39" s="55" t="s">
        <v>560</v>
      </c>
      <c r="DV39" s="67">
        <v>-6.4271999999999991</v>
      </c>
      <c r="DX39" s="54"/>
      <c r="DY39" s="58" t="s">
        <v>13</v>
      </c>
      <c r="DZ39" s="61">
        <v>0</v>
      </c>
      <c r="EB39" s="54"/>
      <c r="EC39" s="58" t="s">
        <v>13</v>
      </c>
      <c r="ED39" s="61">
        <v>0</v>
      </c>
      <c r="EF39" s="54"/>
      <c r="EG39" s="58" t="s">
        <v>13</v>
      </c>
      <c r="EH39" s="61">
        <v>0</v>
      </c>
      <c r="EJ39" s="54"/>
      <c r="EK39" s="58" t="s">
        <v>508</v>
      </c>
      <c r="EL39" s="62">
        <v>-6</v>
      </c>
      <c r="EN39" s="54"/>
      <c r="ER39" s="54"/>
      <c r="ES39" s="189" t="s">
        <v>739</v>
      </c>
      <c r="ET39" s="189"/>
      <c r="EV39" s="54"/>
      <c r="EZ39" s="54"/>
      <c r="FA39" s="190" t="s">
        <v>838</v>
      </c>
      <c r="FB39" s="190"/>
      <c r="FD39" s="54"/>
      <c r="FH39" s="54"/>
      <c r="FL39" s="54"/>
      <c r="FP39" s="54"/>
      <c r="FT39" s="54"/>
      <c r="FX39" s="54"/>
      <c r="GB39" s="54"/>
      <c r="GF39" s="54"/>
    </row>
    <row r="40" spans="1:188" ht="14.4">
      <c r="A40" s="58" t="s">
        <v>382</v>
      </c>
      <c r="B40" s="62">
        <v>8.5695999999999994</v>
      </c>
      <c r="D40" s="54"/>
      <c r="E40" s="58" t="s">
        <v>418</v>
      </c>
      <c r="F40" s="62">
        <v>0</v>
      </c>
      <c r="H40" s="54"/>
      <c r="I40" s="58" t="s">
        <v>0</v>
      </c>
      <c r="J40" s="62"/>
      <c r="L40" s="54"/>
      <c r="M40" s="58" t="s">
        <v>302</v>
      </c>
      <c r="N40" s="58"/>
      <c r="P40" s="54"/>
      <c r="Q40" s="58" t="s">
        <v>682</v>
      </c>
      <c r="R40" s="59">
        <v>47.132799999999996</v>
      </c>
      <c r="T40" s="54"/>
      <c r="X40" s="54"/>
      <c r="AB40" s="54"/>
      <c r="AF40" s="54"/>
      <c r="AG40" s="58" t="s">
        <v>748</v>
      </c>
      <c r="AH40" s="61">
        <v>3.58</v>
      </c>
      <c r="AJ40" s="54"/>
      <c r="AK40" s="58" t="s">
        <v>748</v>
      </c>
      <c r="AL40" s="61">
        <v>3.58</v>
      </c>
      <c r="AN40" s="54"/>
      <c r="AO40" s="58" t="s">
        <v>748</v>
      </c>
      <c r="AP40" s="61">
        <v>3.58</v>
      </c>
      <c r="AR40" s="54"/>
      <c r="AS40" s="58" t="s">
        <v>748</v>
      </c>
      <c r="AT40" s="61">
        <v>3.58</v>
      </c>
      <c r="AV40" s="54"/>
      <c r="AW40" s="58" t="s">
        <v>748</v>
      </c>
      <c r="AX40" s="61">
        <v>3.58</v>
      </c>
      <c r="AZ40" s="54"/>
      <c r="BA40" s="58" t="s">
        <v>748</v>
      </c>
      <c r="BB40" s="61">
        <v>3.58</v>
      </c>
      <c r="BD40" s="54"/>
      <c r="BE40" s="69" t="s">
        <v>786</v>
      </c>
      <c r="BF40" s="70">
        <v>-0.94265599999999994</v>
      </c>
      <c r="BH40" s="54"/>
      <c r="BI40" s="69" t="s">
        <v>786</v>
      </c>
      <c r="BJ40" s="70">
        <v>-0.94265599999999994</v>
      </c>
      <c r="BL40" s="54"/>
      <c r="BM40" s="71" t="s">
        <v>29</v>
      </c>
      <c r="BN40" s="70">
        <v>-3.4599759999999997</v>
      </c>
      <c r="BP40" s="54"/>
      <c r="BQ40" s="58" t="s">
        <v>740</v>
      </c>
      <c r="BR40" s="58">
        <v>0.97</v>
      </c>
      <c r="BT40" s="54"/>
      <c r="BU40" s="58" t="s">
        <v>758</v>
      </c>
      <c r="BV40" s="56">
        <v>0</v>
      </c>
      <c r="BX40" s="54"/>
      <c r="BY40" s="58" t="s">
        <v>1363</v>
      </c>
      <c r="BZ40" s="61">
        <v>2.1423999999999999</v>
      </c>
      <c r="CB40" s="54"/>
      <c r="CF40" s="54"/>
      <c r="CJ40" s="54"/>
      <c r="CK40" s="58" t="s">
        <v>730</v>
      </c>
      <c r="CL40" s="61">
        <v>2.2709440000000001</v>
      </c>
      <c r="CN40" s="54"/>
      <c r="CR40" s="54"/>
      <c r="CS40" s="58" t="s">
        <v>508</v>
      </c>
      <c r="CT40" s="62">
        <v>-6</v>
      </c>
      <c r="CV40" s="54"/>
      <c r="CW40" s="58" t="s">
        <v>730</v>
      </c>
      <c r="CX40" s="61">
        <v>2.2709440000000001</v>
      </c>
      <c r="CZ40" s="54"/>
      <c r="DA40" s="58" t="s">
        <v>13</v>
      </c>
      <c r="DB40" s="61">
        <v>0</v>
      </c>
      <c r="DD40" s="54"/>
      <c r="DE40" s="58" t="s">
        <v>730</v>
      </c>
      <c r="DF40" s="61">
        <v>2.2709440000000001</v>
      </c>
      <c r="DH40" s="54"/>
      <c r="DI40" s="58" t="s">
        <v>786</v>
      </c>
      <c r="DJ40" s="61">
        <v>-0.94265599999999994</v>
      </c>
      <c r="DL40" s="54"/>
      <c r="DM40" s="55" t="s">
        <v>711</v>
      </c>
      <c r="DN40" s="55">
        <v>45.99</v>
      </c>
      <c r="DP40" s="54"/>
      <c r="DQ40" s="55" t="s">
        <v>701</v>
      </c>
      <c r="DR40" s="55">
        <v>35.880000000000003</v>
      </c>
      <c r="DT40" s="54"/>
      <c r="DU40" s="58" t="s">
        <v>542</v>
      </c>
      <c r="DV40" s="62">
        <v>3.9527279999999996</v>
      </c>
      <c r="DX40" s="54"/>
      <c r="DY40" s="189" t="s">
        <v>778</v>
      </c>
      <c r="DZ40" s="189"/>
      <c r="EB40" s="54"/>
      <c r="EC40" s="58" t="s">
        <v>786</v>
      </c>
      <c r="ED40" s="61">
        <v>-0.94265599999999994</v>
      </c>
      <c r="EF40" s="54"/>
      <c r="EG40" s="58" t="s">
        <v>786</v>
      </c>
      <c r="EH40" s="61">
        <v>-0.94265599999999994</v>
      </c>
      <c r="EJ40" s="54"/>
      <c r="EK40" s="189" t="s">
        <v>739</v>
      </c>
      <c r="EL40" s="189"/>
      <c r="EN40" s="54"/>
      <c r="ER40" s="54"/>
      <c r="ES40" s="58" t="s">
        <v>730</v>
      </c>
      <c r="ET40" s="61">
        <v>2.2709440000000001</v>
      </c>
      <c r="EV40" s="54"/>
      <c r="EZ40" s="54"/>
      <c r="FA40" s="12" t="s">
        <v>881</v>
      </c>
      <c r="FB40" s="3"/>
      <c r="FD40" s="54"/>
      <c r="FH40" s="54"/>
      <c r="FL40" s="54"/>
      <c r="FP40" s="54"/>
      <c r="FT40" s="54"/>
      <c r="FX40" s="54"/>
      <c r="GB40" s="54"/>
      <c r="GF40" s="54"/>
    </row>
    <row r="41" spans="1:188" ht="14.4">
      <c r="A41" s="58" t="s">
        <v>379</v>
      </c>
      <c r="B41" s="62">
        <v>8.5695999999999994</v>
      </c>
      <c r="D41" s="54"/>
      <c r="E41" s="58" t="s">
        <v>417</v>
      </c>
      <c r="F41" s="62">
        <v>0</v>
      </c>
      <c r="H41" s="54"/>
      <c r="I41" s="58" t="s">
        <v>1</v>
      </c>
      <c r="J41" s="62">
        <v>0</v>
      </c>
      <c r="L41" s="54"/>
      <c r="M41" s="58" t="s">
        <v>0</v>
      </c>
      <c r="N41" s="62"/>
      <c r="P41" s="54"/>
      <c r="Q41" s="58" t="s">
        <v>503</v>
      </c>
      <c r="R41" s="59">
        <v>47.132799999999996</v>
      </c>
      <c r="T41" s="54"/>
      <c r="X41" s="54"/>
      <c r="AB41" s="54"/>
      <c r="AF41" s="54"/>
      <c r="AG41" s="189" t="s">
        <v>739</v>
      </c>
      <c r="AH41" s="189"/>
      <c r="AJ41" s="54"/>
      <c r="AK41" s="189" t="s">
        <v>739</v>
      </c>
      <c r="AL41" s="189"/>
      <c r="AN41" s="54"/>
      <c r="AO41" s="189" t="s">
        <v>739</v>
      </c>
      <c r="AP41" s="189"/>
      <c r="AR41" s="54"/>
      <c r="AS41" s="189" t="s">
        <v>739</v>
      </c>
      <c r="AT41" s="189"/>
      <c r="AV41" s="54"/>
      <c r="AW41" s="189" t="s">
        <v>739</v>
      </c>
      <c r="AX41" s="189"/>
      <c r="AZ41" s="54"/>
      <c r="BA41" s="189" t="s">
        <v>739</v>
      </c>
      <c r="BB41" s="189"/>
      <c r="BD41" s="54"/>
      <c r="BE41" s="71" t="s">
        <v>29</v>
      </c>
      <c r="BF41" s="70">
        <v>-3.4599759999999997</v>
      </c>
      <c r="BH41" s="54"/>
      <c r="BI41" s="71" t="s">
        <v>29</v>
      </c>
      <c r="BJ41" s="70">
        <v>-3.4599759999999997</v>
      </c>
      <c r="BL41" s="54"/>
      <c r="BM41" s="189" t="s">
        <v>778</v>
      </c>
      <c r="BN41" s="189"/>
      <c r="BP41" s="54"/>
      <c r="BQ41" s="58" t="s">
        <v>585</v>
      </c>
      <c r="BR41" s="62">
        <v>12.254527999999999</v>
      </c>
      <c r="BT41" s="54"/>
      <c r="BU41" s="58" t="s">
        <v>759</v>
      </c>
      <c r="BV41" s="56">
        <v>0</v>
      </c>
      <c r="BX41" s="54"/>
      <c r="BY41" s="189" t="s">
        <v>778</v>
      </c>
      <c r="BZ41" s="189"/>
      <c r="CB41" s="54"/>
      <c r="CF41" s="54"/>
      <c r="CJ41" s="54"/>
      <c r="CK41" s="58" t="s">
        <v>13</v>
      </c>
      <c r="CL41" s="61">
        <v>0</v>
      </c>
      <c r="CN41" s="54"/>
      <c r="CR41" s="54"/>
      <c r="CS41" s="58" t="s">
        <v>529</v>
      </c>
      <c r="CT41" s="62">
        <v>-13.250743999999997</v>
      </c>
      <c r="CV41" s="54"/>
      <c r="CW41" s="58" t="s">
        <v>13</v>
      </c>
      <c r="CX41" s="61">
        <v>0</v>
      </c>
      <c r="CZ41" s="54"/>
      <c r="DA41" s="58" t="s">
        <v>786</v>
      </c>
      <c r="DB41" s="61">
        <v>-0.94265599999999994</v>
      </c>
      <c r="DD41" s="54"/>
      <c r="DE41" s="58" t="s">
        <v>13</v>
      </c>
      <c r="DF41" s="61">
        <v>0</v>
      </c>
      <c r="DH41" s="54"/>
      <c r="DI41" s="21" t="s">
        <v>736</v>
      </c>
      <c r="DJ41" s="21"/>
      <c r="DL41" s="54"/>
      <c r="DM41" s="55" t="s">
        <v>698</v>
      </c>
      <c r="DN41" s="55">
        <v>26.91</v>
      </c>
      <c r="DP41" s="54"/>
      <c r="DQ41" s="55" t="s">
        <v>560</v>
      </c>
      <c r="DR41" s="67">
        <v>-6.4271999999999991</v>
      </c>
      <c r="DT41" s="54"/>
      <c r="DU41" s="58" t="s">
        <v>508</v>
      </c>
      <c r="DV41" s="62">
        <v>-6</v>
      </c>
      <c r="DX41" s="54"/>
      <c r="DY41" s="72" t="s">
        <v>845</v>
      </c>
      <c r="DZ41" s="56">
        <v>1.79</v>
      </c>
      <c r="EB41" s="54"/>
      <c r="EC41" s="21" t="s">
        <v>736</v>
      </c>
      <c r="ED41" s="21"/>
      <c r="EF41" s="54"/>
      <c r="EG41" s="21" t="s">
        <v>736</v>
      </c>
      <c r="EH41" s="21"/>
      <c r="EJ41" s="54"/>
      <c r="EK41" s="58" t="s">
        <v>730</v>
      </c>
      <c r="EL41" s="61">
        <v>2.2709440000000001</v>
      </c>
      <c r="EN41" s="54"/>
      <c r="ER41" s="54"/>
      <c r="ES41" s="58" t="s">
        <v>13</v>
      </c>
      <c r="ET41" s="61">
        <v>0</v>
      </c>
      <c r="EV41" s="54"/>
      <c r="EZ41" s="54"/>
      <c r="FA41" s="5" t="s">
        <v>692</v>
      </c>
      <c r="FB41" s="3"/>
      <c r="FD41" s="54"/>
      <c r="FH41" s="54"/>
      <c r="FL41" s="54"/>
      <c r="FP41" s="54"/>
      <c r="FT41" s="54"/>
      <c r="FX41" s="54"/>
      <c r="GB41" s="54"/>
      <c r="GF41" s="54"/>
    </row>
    <row r="42" spans="1:188" ht="14.4">
      <c r="A42" s="58" t="s">
        <v>21</v>
      </c>
      <c r="B42" s="62">
        <v>12.854399999999998</v>
      </c>
      <c r="D42" s="54"/>
      <c r="E42" s="58" t="s">
        <v>416</v>
      </c>
      <c r="F42" s="62">
        <v>0</v>
      </c>
      <c r="H42" s="54"/>
      <c r="I42" s="58" t="s">
        <v>2</v>
      </c>
      <c r="J42" s="62">
        <v>1.339</v>
      </c>
      <c r="L42" s="54"/>
      <c r="M42" s="58" t="s">
        <v>1</v>
      </c>
      <c r="N42" s="62">
        <v>0</v>
      </c>
      <c r="P42" s="54"/>
      <c r="Q42" s="58" t="s">
        <v>683</v>
      </c>
      <c r="R42" s="59">
        <v>54.6312</v>
      </c>
      <c r="T42" s="54"/>
      <c r="X42" s="54"/>
      <c r="AB42" s="54"/>
      <c r="AF42" s="54"/>
      <c r="AG42" s="69" t="s">
        <v>730</v>
      </c>
      <c r="AH42" s="70">
        <v>2.2709440000000001</v>
      </c>
      <c r="AJ42" s="54"/>
      <c r="AK42" s="69" t="s">
        <v>730</v>
      </c>
      <c r="AL42" s="70">
        <v>2.2709440000000001</v>
      </c>
      <c r="AN42" s="54"/>
      <c r="AO42" s="69" t="s">
        <v>730</v>
      </c>
      <c r="AP42" s="70">
        <v>2.2709440000000001</v>
      </c>
      <c r="AR42" s="54"/>
      <c r="AS42" s="69" t="s">
        <v>730</v>
      </c>
      <c r="AT42" s="70">
        <v>2.2709440000000001</v>
      </c>
      <c r="AV42" s="54"/>
      <c r="AW42" s="69" t="s">
        <v>730</v>
      </c>
      <c r="AX42" s="70">
        <v>2.2709440000000001</v>
      </c>
      <c r="AZ42" s="54"/>
      <c r="BA42" s="69" t="s">
        <v>730</v>
      </c>
      <c r="BB42" s="70">
        <v>2.2709440000000001</v>
      </c>
      <c r="BD42" s="54"/>
      <c r="BE42" s="69" t="s">
        <v>30</v>
      </c>
      <c r="BF42" s="70">
        <v>-11.933168</v>
      </c>
      <c r="BH42" s="54"/>
      <c r="BI42" s="69" t="s">
        <v>30</v>
      </c>
      <c r="BJ42" s="70">
        <v>-11.933168</v>
      </c>
      <c r="BL42" s="54"/>
      <c r="BM42" s="72" t="s">
        <v>845</v>
      </c>
      <c r="BN42" s="56">
        <v>1.79</v>
      </c>
      <c r="BP42" s="54"/>
      <c r="BQ42" s="189" t="s">
        <v>775</v>
      </c>
      <c r="BR42" s="189"/>
      <c r="BT42" s="54"/>
      <c r="BU42" s="58" t="s">
        <v>760</v>
      </c>
      <c r="BV42" s="56">
        <v>4.18</v>
      </c>
      <c r="BX42" s="54"/>
      <c r="BY42" s="72" t="s">
        <v>845</v>
      </c>
      <c r="BZ42" s="56">
        <v>1.79</v>
      </c>
      <c r="CB42" s="54"/>
      <c r="CF42" s="54"/>
      <c r="CJ42" s="54"/>
      <c r="CK42" s="58" t="s">
        <v>786</v>
      </c>
      <c r="CL42" s="61">
        <v>-0.94265599999999994</v>
      </c>
      <c r="CN42" s="54"/>
      <c r="CR42" s="54"/>
      <c r="CS42" s="58" t="s">
        <v>525</v>
      </c>
      <c r="CT42" s="62">
        <v>-21.231183999999999</v>
      </c>
      <c r="CV42" s="54"/>
      <c r="CW42" s="58" t="s">
        <v>786</v>
      </c>
      <c r="CX42" s="61">
        <v>-0.94265599999999994</v>
      </c>
      <c r="CZ42" s="54"/>
      <c r="DA42" s="21" t="s">
        <v>736</v>
      </c>
      <c r="DB42" s="21"/>
      <c r="DD42" s="54"/>
      <c r="DE42" s="58" t="s">
        <v>786</v>
      </c>
      <c r="DF42" s="61">
        <v>-0.94265599999999994</v>
      </c>
      <c r="DH42" s="54"/>
      <c r="DI42" s="72" t="s">
        <v>744</v>
      </c>
      <c r="DJ42" s="138">
        <v>6.4271999999999991</v>
      </c>
      <c r="DL42" s="54"/>
      <c r="DM42" s="55" t="s">
        <v>712</v>
      </c>
      <c r="DN42" s="55">
        <v>50.57</v>
      </c>
      <c r="DP42" s="54"/>
      <c r="DQ42" s="58" t="s">
        <v>542</v>
      </c>
      <c r="DR42" s="62">
        <v>3.9527279999999996</v>
      </c>
      <c r="DT42" s="54"/>
      <c r="DU42" s="21" t="s">
        <v>739</v>
      </c>
      <c r="DV42" s="21"/>
      <c r="DX42" s="54"/>
      <c r="DY42" s="72" t="s">
        <v>844</v>
      </c>
      <c r="DZ42" s="56">
        <v>2.98</v>
      </c>
      <c r="EB42" s="54"/>
      <c r="EC42" s="58" t="s">
        <v>741</v>
      </c>
      <c r="ED42" s="61">
        <v>0</v>
      </c>
      <c r="EF42" s="54"/>
      <c r="EG42" s="58" t="s">
        <v>741</v>
      </c>
      <c r="EH42" s="61">
        <v>0</v>
      </c>
      <c r="EJ42" s="54"/>
      <c r="EK42" s="58" t="s">
        <v>13</v>
      </c>
      <c r="EL42" s="61">
        <v>0</v>
      </c>
      <c r="EN42" s="54"/>
      <c r="ER42" s="54"/>
      <c r="ES42" s="58" t="s">
        <v>786</v>
      </c>
      <c r="ET42" s="61">
        <v>-0.94265599999999994</v>
      </c>
      <c r="EV42" s="54"/>
      <c r="EZ42" s="54"/>
      <c r="FD42" s="54"/>
      <c r="FH42" s="54"/>
      <c r="FL42" s="54"/>
      <c r="FP42" s="54"/>
      <c r="FT42" s="54"/>
      <c r="FX42" s="54"/>
      <c r="GB42" s="54"/>
      <c r="GF42" s="54"/>
    </row>
    <row r="43" spans="1:188" ht="14.4">
      <c r="A43" s="58" t="s">
        <v>375</v>
      </c>
      <c r="B43" s="62">
        <v>12.854399999999998</v>
      </c>
      <c r="D43" s="54"/>
      <c r="E43" s="58" t="s">
        <v>415</v>
      </c>
      <c r="F43" s="62">
        <v>0</v>
      </c>
      <c r="H43" s="54"/>
      <c r="I43" s="58" t="s">
        <v>119</v>
      </c>
      <c r="J43" s="62">
        <v>4.0169999999999995</v>
      </c>
      <c r="L43" s="54"/>
      <c r="M43" s="58" t="s">
        <v>2</v>
      </c>
      <c r="N43" s="62">
        <v>1.339</v>
      </c>
      <c r="P43" s="54"/>
      <c r="Q43" s="58" t="s">
        <v>498</v>
      </c>
      <c r="R43" s="59">
        <v>54.6312</v>
      </c>
      <c r="T43" s="54"/>
      <c r="X43" s="54"/>
      <c r="AB43" s="54"/>
      <c r="AF43" s="54"/>
      <c r="AG43" s="69" t="s">
        <v>13</v>
      </c>
      <c r="AH43" s="70">
        <v>0</v>
      </c>
      <c r="AJ43" s="54"/>
      <c r="AK43" s="69" t="s">
        <v>13</v>
      </c>
      <c r="AL43" s="70">
        <v>0</v>
      </c>
      <c r="AN43" s="54"/>
      <c r="AO43" s="69" t="s">
        <v>13</v>
      </c>
      <c r="AP43" s="70">
        <v>0</v>
      </c>
      <c r="AR43" s="54"/>
      <c r="AS43" s="69" t="s">
        <v>13</v>
      </c>
      <c r="AT43" s="70">
        <v>0</v>
      </c>
      <c r="AV43" s="54"/>
      <c r="AW43" s="69" t="s">
        <v>13</v>
      </c>
      <c r="AX43" s="70">
        <v>0</v>
      </c>
      <c r="AZ43" s="54"/>
      <c r="BA43" s="69" t="s">
        <v>13</v>
      </c>
      <c r="BB43" s="70">
        <v>0</v>
      </c>
      <c r="BD43" s="54"/>
      <c r="BE43" s="21" t="s">
        <v>738</v>
      </c>
      <c r="BF43" s="21"/>
      <c r="BH43" s="54"/>
      <c r="BI43" s="21" t="s">
        <v>738</v>
      </c>
      <c r="BJ43" s="21"/>
      <c r="BL43" s="54"/>
      <c r="BM43" s="72" t="s">
        <v>844</v>
      </c>
      <c r="BN43" s="56">
        <v>2.98</v>
      </c>
      <c r="BP43" s="54"/>
      <c r="BQ43" s="58" t="s">
        <v>831</v>
      </c>
      <c r="BR43" s="58">
        <v>0</v>
      </c>
      <c r="BT43" s="54"/>
      <c r="BU43" s="58" t="s">
        <v>761</v>
      </c>
      <c r="BV43" s="58">
        <v>4.18</v>
      </c>
      <c r="BX43" s="54"/>
      <c r="BY43" s="72" t="s">
        <v>844</v>
      </c>
      <c r="BZ43" s="56">
        <v>2.98</v>
      </c>
      <c r="CB43" s="54"/>
      <c r="CF43" s="54"/>
      <c r="CJ43" s="54"/>
      <c r="CK43" s="21" t="s">
        <v>778</v>
      </c>
      <c r="CL43" s="21"/>
      <c r="CN43" s="54"/>
      <c r="CR43" s="54"/>
      <c r="CS43" s="189" t="s">
        <v>739</v>
      </c>
      <c r="CT43" s="189"/>
      <c r="CV43" s="54"/>
      <c r="CW43" s="21" t="s">
        <v>736</v>
      </c>
      <c r="CX43" s="21"/>
      <c r="CZ43" s="54"/>
      <c r="DA43" s="58" t="s">
        <v>741</v>
      </c>
      <c r="DB43" s="61">
        <v>0</v>
      </c>
      <c r="DD43" s="54"/>
      <c r="DE43" s="21" t="s">
        <v>736</v>
      </c>
      <c r="DF43" s="21"/>
      <c r="DH43" s="54"/>
      <c r="DI43" s="72" t="s">
        <v>762</v>
      </c>
      <c r="DJ43" s="138">
        <v>7</v>
      </c>
      <c r="DL43" s="54"/>
      <c r="DM43" s="55" t="s">
        <v>699</v>
      </c>
      <c r="DN43" s="55">
        <v>29.9</v>
      </c>
      <c r="DP43" s="54"/>
      <c r="DQ43" s="58" t="s">
        <v>508</v>
      </c>
      <c r="DR43" s="62">
        <v>-6</v>
      </c>
      <c r="DT43" s="54"/>
      <c r="DU43" s="58" t="s">
        <v>13</v>
      </c>
      <c r="DV43" s="61">
        <v>0</v>
      </c>
      <c r="DX43" s="54"/>
      <c r="DY43" s="73" t="s">
        <v>847</v>
      </c>
      <c r="DZ43" s="73"/>
      <c r="EB43" s="54"/>
      <c r="EC43" s="58" t="s">
        <v>742</v>
      </c>
      <c r="ED43" s="61">
        <v>0</v>
      </c>
      <c r="EF43" s="54"/>
      <c r="EG43" s="58" t="s">
        <v>742</v>
      </c>
      <c r="EH43" s="61">
        <v>0</v>
      </c>
      <c r="EJ43" s="54"/>
      <c r="EK43" s="58" t="s">
        <v>786</v>
      </c>
      <c r="EL43" s="61">
        <v>-0.94265599999999994</v>
      </c>
      <c r="EN43" s="54"/>
      <c r="ER43" s="54"/>
      <c r="ES43" s="21" t="s">
        <v>736</v>
      </c>
      <c r="ET43" s="21"/>
      <c r="EV43" s="54"/>
      <c r="EZ43" s="54"/>
      <c r="FD43" s="54"/>
      <c r="FH43" s="54"/>
      <c r="FL43" s="54"/>
      <c r="FP43" s="54"/>
      <c r="FT43" s="54"/>
      <c r="FX43" s="54"/>
      <c r="GB43" s="54"/>
      <c r="GF43" s="54"/>
    </row>
    <row r="44" spans="1:188" ht="14.4">
      <c r="A44" s="58" t="s">
        <v>372</v>
      </c>
      <c r="B44" s="62">
        <v>12.854399999999998</v>
      </c>
      <c r="D44" s="54"/>
      <c r="E44" s="58" t="s">
        <v>18</v>
      </c>
      <c r="F44" s="62">
        <v>0</v>
      </c>
      <c r="H44" s="54"/>
      <c r="I44" s="58" t="s">
        <v>120</v>
      </c>
      <c r="J44" s="62">
        <v>5.3559999999999999</v>
      </c>
      <c r="L44" s="54"/>
      <c r="M44" s="58" t="s">
        <v>119</v>
      </c>
      <c r="N44" s="62">
        <v>4.0169999999999995</v>
      </c>
      <c r="P44" s="54"/>
      <c r="Q44" s="58" t="s">
        <v>684</v>
      </c>
      <c r="R44" s="59">
        <v>62.129599999999996</v>
      </c>
      <c r="T44" s="54"/>
      <c r="X44" s="54"/>
      <c r="AB44" s="54"/>
      <c r="AF44" s="54"/>
      <c r="AG44" s="69" t="s">
        <v>786</v>
      </c>
      <c r="AH44" s="70">
        <v>-0.94265599999999994</v>
      </c>
      <c r="AJ44" s="54"/>
      <c r="AK44" s="69" t="s">
        <v>786</v>
      </c>
      <c r="AL44" s="70">
        <v>-0.94265599999999994</v>
      </c>
      <c r="AN44" s="54"/>
      <c r="AO44" s="69" t="s">
        <v>786</v>
      </c>
      <c r="AP44" s="70">
        <v>-0.94265599999999994</v>
      </c>
      <c r="AR44" s="54"/>
      <c r="AS44" s="69" t="s">
        <v>786</v>
      </c>
      <c r="AT44" s="70">
        <v>-0.94265599999999994</v>
      </c>
      <c r="AV44" s="54"/>
      <c r="AW44" s="69" t="s">
        <v>786</v>
      </c>
      <c r="AX44" s="70">
        <v>-0.94265599999999994</v>
      </c>
      <c r="AZ44" s="54"/>
      <c r="BA44" s="69" t="s">
        <v>786</v>
      </c>
      <c r="BB44" s="70">
        <v>-0.94265599999999994</v>
      </c>
      <c r="BD44" s="54"/>
      <c r="BE44" s="58" t="s">
        <v>39</v>
      </c>
      <c r="BF44" s="62">
        <v>0</v>
      </c>
      <c r="BH44" s="54"/>
      <c r="BI44" s="58" t="s">
        <v>39</v>
      </c>
      <c r="BJ44" s="62">
        <v>0</v>
      </c>
      <c r="BL44" s="54"/>
      <c r="BM44" s="73" t="s">
        <v>847</v>
      </c>
      <c r="BN44" s="73"/>
      <c r="BP44" s="54"/>
      <c r="BQ44" s="58" t="s">
        <v>731</v>
      </c>
      <c r="BR44" s="58">
        <v>0</v>
      </c>
      <c r="BT44" s="54"/>
      <c r="BU44" s="58" t="s">
        <v>765</v>
      </c>
      <c r="BV44" s="62">
        <v>0</v>
      </c>
      <c r="BX44" s="54"/>
      <c r="BY44" s="189" t="s">
        <v>572</v>
      </c>
      <c r="BZ44" s="189"/>
      <c r="CB44" s="54"/>
      <c r="CF44" s="54"/>
      <c r="CJ44" s="54"/>
      <c r="CK44" s="72" t="s">
        <v>845</v>
      </c>
      <c r="CL44" s="56">
        <v>1.79</v>
      </c>
      <c r="CN44" s="54"/>
      <c r="CR44" s="54"/>
      <c r="CS44" s="58" t="s">
        <v>730</v>
      </c>
      <c r="CT44" s="61">
        <v>2.2709440000000001</v>
      </c>
      <c r="CV44" s="54"/>
      <c r="CW44" s="58" t="s">
        <v>741</v>
      </c>
      <c r="CX44" s="61">
        <v>0</v>
      </c>
      <c r="CZ44" s="54"/>
      <c r="DA44" s="58" t="s">
        <v>742</v>
      </c>
      <c r="DB44" s="61">
        <v>0</v>
      </c>
      <c r="DD44" s="54"/>
      <c r="DE44" s="58" t="s">
        <v>741</v>
      </c>
      <c r="DF44" s="61">
        <v>0</v>
      </c>
      <c r="DH44" s="54"/>
      <c r="DI44" s="21" t="s">
        <v>778</v>
      </c>
      <c r="DJ44" s="21"/>
      <c r="DL44" s="54"/>
      <c r="DM44" s="55" t="s">
        <v>713</v>
      </c>
      <c r="DN44" s="55">
        <v>55.15</v>
      </c>
      <c r="DP44" s="54"/>
      <c r="DQ44" s="21" t="s">
        <v>739</v>
      </c>
      <c r="DR44" s="21"/>
      <c r="DT44" s="54"/>
      <c r="DU44" s="58" t="s">
        <v>786</v>
      </c>
      <c r="DV44" s="61">
        <v>-0.94265599999999994</v>
      </c>
      <c r="DX44" s="54"/>
      <c r="DY44" s="74" t="s">
        <v>846</v>
      </c>
      <c r="DZ44" s="75">
        <v>10.379928</v>
      </c>
      <c r="EB44" s="54"/>
      <c r="EC44" s="58" t="s">
        <v>743</v>
      </c>
      <c r="ED44" s="61">
        <v>6.4271999999999991</v>
      </c>
      <c r="EF44" s="54"/>
      <c r="EG44" s="58" t="s">
        <v>743</v>
      </c>
      <c r="EH44" s="61">
        <v>6.4271999999999991</v>
      </c>
      <c r="EJ44" s="54"/>
      <c r="EK44" s="21" t="s">
        <v>736</v>
      </c>
      <c r="EL44" s="21"/>
      <c r="EN44" s="54"/>
      <c r="ER44" s="54"/>
      <c r="ES44" s="58" t="s">
        <v>741</v>
      </c>
      <c r="ET44" s="61">
        <v>0</v>
      </c>
      <c r="EV44" s="54"/>
      <c r="EZ44" s="54"/>
      <c r="FD44" s="54"/>
      <c r="FH44" s="54"/>
      <c r="FL44" s="54"/>
      <c r="FP44" s="54"/>
      <c r="FT44" s="54"/>
      <c r="FX44" s="54"/>
      <c r="GB44" s="54"/>
      <c r="GF44" s="54"/>
    </row>
    <row r="45" spans="1:188" ht="14.4">
      <c r="A45" s="58" t="s">
        <v>369</v>
      </c>
      <c r="B45" s="62">
        <v>12.854399999999998</v>
      </c>
      <c r="D45" s="54"/>
      <c r="E45" s="58" t="s">
        <v>412</v>
      </c>
      <c r="F45" s="62">
        <v>0</v>
      </c>
      <c r="H45" s="54"/>
      <c r="I45" s="58" t="s">
        <v>3</v>
      </c>
      <c r="J45" s="62">
        <v>8.0339999999999989</v>
      </c>
      <c r="L45" s="54"/>
      <c r="M45" s="58" t="s">
        <v>120</v>
      </c>
      <c r="N45" s="62">
        <v>5.3559999999999999</v>
      </c>
      <c r="P45" s="54"/>
      <c r="Q45" s="58" t="s">
        <v>492</v>
      </c>
      <c r="R45" s="59">
        <v>62.129599999999996</v>
      </c>
      <c r="T45" s="54"/>
      <c r="X45" s="54"/>
      <c r="AB45" s="54"/>
      <c r="AF45" s="54"/>
      <c r="AG45" s="71" t="s">
        <v>29</v>
      </c>
      <c r="AH45" s="70">
        <v>-3.4599759999999997</v>
      </c>
      <c r="AJ45" s="54"/>
      <c r="AK45" s="71" t="s">
        <v>29</v>
      </c>
      <c r="AL45" s="70">
        <v>-3.4599759999999997</v>
      </c>
      <c r="AN45" s="54"/>
      <c r="AO45" s="71" t="s">
        <v>29</v>
      </c>
      <c r="AP45" s="70">
        <v>-3.4599759999999997</v>
      </c>
      <c r="AR45" s="54"/>
      <c r="AS45" s="71" t="s">
        <v>29</v>
      </c>
      <c r="AT45" s="70">
        <v>-3.4599759999999997</v>
      </c>
      <c r="AV45" s="54"/>
      <c r="AW45" s="71" t="s">
        <v>29</v>
      </c>
      <c r="AX45" s="70">
        <v>-3.4599759999999997</v>
      </c>
      <c r="AZ45" s="54"/>
      <c r="BA45" s="71" t="s">
        <v>29</v>
      </c>
      <c r="BB45" s="70">
        <v>-3.4599759999999997</v>
      </c>
      <c r="BD45" s="54"/>
      <c r="BE45" s="58" t="s">
        <v>40</v>
      </c>
      <c r="BF45" s="62">
        <v>1.5928743999999999</v>
      </c>
      <c r="BH45" s="54"/>
      <c r="BI45" s="58" t="s">
        <v>40</v>
      </c>
      <c r="BJ45" s="62">
        <v>1.5928743999999999</v>
      </c>
      <c r="BL45" s="54"/>
      <c r="BM45" s="74" t="s">
        <v>846</v>
      </c>
      <c r="BN45" s="75">
        <v>10.379928</v>
      </c>
      <c r="BP45" s="54"/>
      <c r="BQ45" s="58" t="s">
        <v>45</v>
      </c>
      <c r="BR45" s="58">
        <v>2.14</v>
      </c>
      <c r="BT45" s="54"/>
      <c r="BU45" s="58" t="s">
        <v>766</v>
      </c>
      <c r="BV45" s="58">
        <v>0</v>
      </c>
      <c r="BX45" s="54"/>
      <c r="BY45" s="77" t="s">
        <v>572</v>
      </c>
      <c r="BZ45" s="62">
        <v>2.86</v>
      </c>
      <c r="CB45" s="54"/>
      <c r="CF45" s="54"/>
      <c r="CJ45" s="54"/>
      <c r="CK45" s="72" t="s">
        <v>844</v>
      </c>
      <c r="CL45" s="56">
        <v>2.98</v>
      </c>
      <c r="CN45" s="54"/>
      <c r="CR45" s="54"/>
      <c r="CS45" s="58" t="s">
        <v>13</v>
      </c>
      <c r="CT45" s="61">
        <v>0</v>
      </c>
      <c r="CV45" s="54"/>
      <c r="CW45" s="58" t="s">
        <v>742</v>
      </c>
      <c r="CX45" s="61">
        <v>0</v>
      </c>
      <c r="CZ45" s="54"/>
      <c r="DA45" s="58" t="s">
        <v>743</v>
      </c>
      <c r="DB45" s="61">
        <v>6.4271999999999991</v>
      </c>
      <c r="DD45" s="54"/>
      <c r="DE45" s="58" t="s">
        <v>742</v>
      </c>
      <c r="DF45" s="61">
        <v>0</v>
      </c>
      <c r="DH45" s="54"/>
      <c r="DI45" s="72" t="s">
        <v>845</v>
      </c>
      <c r="DJ45" s="56">
        <v>1.79</v>
      </c>
      <c r="DL45" s="54"/>
      <c r="DM45" s="55" t="s">
        <v>700</v>
      </c>
      <c r="DN45" s="55">
        <v>32.89</v>
      </c>
      <c r="DP45" s="54"/>
      <c r="DQ45" s="58" t="s">
        <v>13</v>
      </c>
      <c r="DR45" s="61">
        <v>0</v>
      </c>
      <c r="DT45" s="54"/>
      <c r="DU45" s="21" t="s">
        <v>778</v>
      </c>
      <c r="DV45" s="21"/>
      <c r="DX45" s="54"/>
      <c r="EB45" s="54"/>
      <c r="EC45" s="58" t="s">
        <v>744</v>
      </c>
      <c r="ED45" s="61">
        <v>6.4271999999999991</v>
      </c>
      <c r="EF45" s="54"/>
      <c r="EG45" s="58" t="s">
        <v>744</v>
      </c>
      <c r="EH45" s="61">
        <v>6.4271999999999991</v>
      </c>
      <c r="EJ45" s="54"/>
      <c r="EK45" s="58" t="s">
        <v>741</v>
      </c>
      <c r="EL45" s="61">
        <v>0</v>
      </c>
      <c r="EN45" s="54"/>
      <c r="ER45" s="54"/>
      <c r="ES45" s="58" t="s">
        <v>742</v>
      </c>
      <c r="ET45" s="61">
        <v>0</v>
      </c>
      <c r="EV45" s="54"/>
      <c r="EZ45" s="54"/>
      <c r="FD45" s="54"/>
      <c r="FH45" s="54"/>
      <c r="FL45" s="54"/>
      <c r="FP45" s="54"/>
      <c r="FT45" s="54"/>
      <c r="FX45" s="54"/>
      <c r="GB45" s="54"/>
      <c r="GF45" s="54"/>
    </row>
    <row r="46" spans="1:188" ht="14.4">
      <c r="A46" s="58" t="s">
        <v>366</v>
      </c>
      <c r="B46" s="62">
        <v>12.854399999999998</v>
      </c>
      <c r="D46" s="54"/>
      <c r="E46" s="58" t="s">
        <v>409</v>
      </c>
      <c r="F46" s="62">
        <v>0</v>
      </c>
      <c r="H46" s="54"/>
      <c r="I46" s="58" t="s">
        <v>4</v>
      </c>
      <c r="J46" s="62">
        <v>10.712</v>
      </c>
      <c r="L46" s="54"/>
      <c r="M46" s="58" t="s">
        <v>3</v>
      </c>
      <c r="N46" s="62">
        <v>8.0339999999999989</v>
      </c>
      <c r="P46" s="54"/>
      <c r="Q46" s="58" t="s">
        <v>685</v>
      </c>
      <c r="R46" s="59">
        <v>69.628</v>
      </c>
      <c r="T46" s="54"/>
      <c r="X46" s="54"/>
      <c r="AB46" s="54"/>
      <c r="AF46" s="54"/>
      <c r="AG46" s="69" t="s">
        <v>30</v>
      </c>
      <c r="AH46" s="70">
        <v>-11.933168</v>
      </c>
      <c r="AJ46" s="54"/>
      <c r="AK46" s="69" t="s">
        <v>30</v>
      </c>
      <c r="AL46" s="70">
        <v>-11.933168</v>
      </c>
      <c r="AN46" s="54"/>
      <c r="AO46" s="69" t="s">
        <v>30</v>
      </c>
      <c r="AP46" s="70">
        <v>-11.933168</v>
      </c>
      <c r="AR46" s="54"/>
      <c r="AS46" s="69" t="s">
        <v>30</v>
      </c>
      <c r="AT46" s="70">
        <v>-11.933168</v>
      </c>
      <c r="AV46" s="54"/>
      <c r="AW46" s="69" t="s">
        <v>30</v>
      </c>
      <c r="AX46" s="70">
        <v>-11.933168</v>
      </c>
      <c r="AZ46" s="54"/>
      <c r="BA46" s="69" t="s">
        <v>30</v>
      </c>
      <c r="BB46" s="70">
        <v>-11.933168</v>
      </c>
      <c r="BD46" s="54"/>
      <c r="BE46" s="58" t="s">
        <v>41</v>
      </c>
      <c r="BF46" s="62">
        <v>2.8671739199999995</v>
      </c>
      <c r="BH46" s="54"/>
      <c r="BI46" s="58" t="s">
        <v>41</v>
      </c>
      <c r="BJ46" s="62">
        <v>2.8671739199999995</v>
      </c>
      <c r="BL46" s="54"/>
      <c r="BM46" s="189" t="s">
        <v>838</v>
      </c>
      <c r="BN46" s="189"/>
      <c r="BP46" s="54"/>
      <c r="BQ46" s="58" t="s">
        <v>46</v>
      </c>
      <c r="BR46" s="58">
        <v>3.21</v>
      </c>
      <c r="BT46" s="54"/>
      <c r="BU46" s="58" t="s">
        <v>769</v>
      </c>
      <c r="BV46" s="58">
        <v>-2</v>
      </c>
      <c r="BX46" s="54"/>
      <c r="BY46" s="189" t="s">
        <v>838</v>
      </c>
      <c r="BZ46" s="189"/>
      <c r="CB46" s="54"/>
      <c r="CF46" s="54"/>
      <c r="CJ46" s="54"/>
      <c r="CK46" s="21" t="s">
        <v>838</v>
      </c>
      <c r="CL46" s="21"/>
      <c r="CN46" s="54"/>
      <c r="CR46" s="54"/>
      <c r="CS46" s="58" t="s">
        <v>786</v>
      </c>
      <c r="CT46" s="61">
        <v>-0.94265599999999994</v>
      </c>
      <c r="CV46" s="54"/>
      <c r="CW46" s="58" t="s">
        <v>743</v>
      </c>
      <c r="CX46" s="61">
        <v>6.4271999999999991</v>
      </c>
      <c r="CZ46" s="54"/>
      <c r="DA46" s="58" t="s">
        <v>744</v>
      </c>
      <c r="DB46" s="61">
        <v>6.4271999999999991</v>
      </c>
      <c r="DD46" s="54"/>
      <c r="DE46" s="58" t="s">
        <v>743</v>
      </c>
      <c r="DF46" s="61">
        <v>6.4271999999999991</v>
      </c>
      <c r="DH46" s="54"/>
      <c r="DI46" s="72" t="s">
        <v>844</v>
      </c>
      <c r="DJ46" s="56">
        <v>2.98</v>
      </c>
      <c r="DL46" s="54"/>
      <c r="DM46" s="55" t="s">
        <v>714</v>
      </c>
      <c r="DN46" s="55">
        <v>59.73</v>
      </c>
      <c r="DP46" s="54"/>
      <c r="DQ46" s="58" t="s">
        <v>786</v>
      </c>
      <c r="DR46" s="61">
        <v>-0.94265599999999994</v>
      </c>
      <c r="DT46" s="54"/>
      <c r="DU46" s="72" t="s">
        <v>845</v>
      </c>
      <c r="DV46" s="56">
        <v>1.79</v>
      </c>
      <c r="DX46" s="54"/>
      <c r="EB46" s="54"/>
      <c r="EC46" s="58" t="s">
        <v>745</v>
      </c>
      <c r="ED46" s="61">
        <v>6.4271999999999991</v>
      </c>
      <c r="EF46" s="54"/>
      <c r="EG46" s="58" t="s">
        <v>745</v>
      </c>
      <c r="EH46" s="61">
        <v>6.4271999999999991</v>
      </c>
      <c r="EJ46" s="54"/>
      <c r="EK46" s="58" t="s">
        <v>742</v>
      </c>
      <c r="EL46" s="61">
        <v>0</v>
      </c>
      <c r="EN46" s="54"/>
      <c r="ER46" s="54"/>
      <c r="ES46" s="58" t="s">
        <v>743</v>
      </c>
      <c r="ET46" s="61">
        <v>6.4271999999999991</v>
      </c>
      <c r="EV46" s="54"/>
      <c r="EZ46" s="54"/>
      <c r="FD46" s="54"/>
      <c r="FH46" s="54"/>
      <c r="FL46" s="54"/>
      <c r="FP46" s="54"/>
      <c r="FT46" s="54"/>
      <c r="FX46" s="54"/>
      <c r="GB46" s="54"/>
      <c r="GF46" s="54"/>
    </row>
    <row r="47" spans="1:188" ht="14.4">
      <c r="A47" s="55" t="s">
        <v>22</v>
      </c>
      <c r="B47" s="62">
        <v>17.139199999999999</v>
      </c>
      <c r="D47" s="54"/>
      <c r="E47" s="58" t="s">
        <v>406</v>
      </c>
      <c r="F47" s="62">
        <v>0</v>
      </c>
      <c r="H47" s="54"/>
      <c r="I47" s="58" t="s">
        <v>5</v>
      </c>
      <c r="J47" s="62">
        <v>13.389999999999999</v>
      </c>
      <c r="L47" s="54"/>
      <c r="M47" s="58" t="s">
        <v>4</v>
      </c>
      <c r="N47" s="62">
        <v>10.712</v>
      </c>
      <c r="P47" s="54"/>
      <c r="Q47" s="58" t="s">
        <v>486</v>
      </c>
      <c r="R47" s="59">
        <v>69.628</v>
      </c>
      <c r="T47" s="54"/>
      <c r="X47" s="54"/>
      <c r="AB47" s="54"/>
      <c r="AF47" s="54"/>
      <c r="AG47" s="21" t="s">
        <v>738</v>
      </c>
      <c r="AH47" s="21"/>
      <c r="AJ47" s="54"/>
      <c r="AK47" s="21" t="s">
        <v>738</v>
      </c>
      <c r="AL47" s="21"/>
      <c r="AN47" s="54"/>
      <c r="AO47" s="21" t="s">
        <v>738</v>
      </c>
      <c r="AP47" s="21"/>
      <c r="AR47" s="54"/>
      <c r="AS47" s="21" t="s">
        <v>738</v>
      </c>
      <c r="AT47" s="21"/>
      <c r="AV47" s="54"/>
      <c r="AW47" s="21" t="s">
        <v>738</v>
      </c>
      <c r="AX47" s="21"/>
      <c r="AZ47" s="54"/>
      <c r="BA47" s="21" t="s">
        <v>738</v>
      </c>
      <c r="BB47" s="21"/>
      <c r="BD47" s="54"/>
      <c r="BE47" s="21" t="s">
        <v>778</v>
      </c>
      <c r="BF47" s="21"/>
      <c r="BH47" s="54"/>
      <c r="BI47" s="21" t="s">
        <v>778</v>
      </c>
      <c r="BJ47" s="21"/>
      <c r="BL47" s="54"/>
      <c r="BM47" s="58" t="s">
        <v>830</v>
      </c>
      <c r="BN47" s="58">
        <v>10.5</v>
      </c>
      <c r="BP47" s="54"/>
      <c r="BQ47" s="58" t="s">
        <v>832</v>
      </c>
      <c r="BR47" s="58">
        <v>-2.27</v>
      </c>
      <c r="BT47" s="54"/>
      <c r="BU47" s="189" t="s">
        <v>739</v>
      </c>
      <c r="BV47" s="189"/>
      <c r="BX47" s="54"/>
      <c r="BY47" s="58" t="s">
        <v>830</v>
      </c>
      <c r="BZ47" s="58">
        <v>10.5</v>
      </c>
      <c r="CB47" s="54"/>
      <c r="CF47" s="54"/>
      <c r="CJ47" s="54"/>
      <c r="CK47" s="58" t="s">
        <v>830</v>
      </c>
      <c r="CL47" s="58">
        <v>10.5</v>
      </c>
      <c r="CN47" s="54"/>
      <c r="CR47" s="54"/>
      <c r="CS47" s="21" t="s">
        <v>736</v>
      </c>
      <c r="CT47" s="21"/>
      <c r="CV47" s="54"/>
      <c r="CW47" s="58" t="s">
        <v>744</v>
      </c>
      <c r="CX47" s="61">
        <v>6.4271999999999991</v>
      </c>
      <c r="CZ47" s="54"/>
      <c r="DA47" s="58" t="s">
        <v>745</v>
      </c>
      <c r="DB47" s="61">
        <v>6.4271999999999991</v>
      </c>
      <c r="DD47" s="54"/>
      <c r="DE47" s="58" t="s">
        <v>744</v>
      </c>
      <c r="DF47" s="61">
        <v>6.4271999999999991</v>
      </c>
      <c r="DH47" s="54"/>
      <c r="DI47" s="21" t="s">
        <v>838</v>
      </c>
      <c r="DJ47" s="21"/>
      <c r="DL47" s="54"/>
      <c r="DM47" s="55" t="s">
        <v>701</v>
      </c>
      <c r="DN47" s="55">
        <v>35.880000000000003</v>
      </c>
      <c r="DP47" s="54"/>
      <c r="DQ47" s="21" t="s">
        <v>736</v>
      </c>
      <c r="DR47" s="21"/>
      <c r="DT47" s="54"/>
      <c r="DU47" s="72" t="s">
        <v>844</v>
      </c>
      <c r="DV47" s="56">
        <v>2.98</v>
      </c>
      <c r="DX47" s="54"/>
      <c r="EB47" s="54"/>
      <c r="EC47" s="58" t="s">
        <v>746</v>
      </c>
      <c r="ED47" s="61">
        <v>6.4271999999999991</v>
      </c>
      <c r="EF47" s="54"/>
      <c r="EG47" s="58" t="s">
        <v>746</v>
      </c>
      <c r="EH47" s="61">
        <v>6.4271999999999991</v>
      </c>
      <c r="EJ47" s="54"/>
      <c r="EK47" s="58" t="s">
        <v>743</v>
      </c>
      <c r="EL47" s="61">
        <v>6.4271999999999991</v>
      </c>
      <c r="EN47" s="54"/>
      <c r="ER47" s="54"/>
      <c r="ES47" s="58" t="s">
        <v>744</v>
      </c>
      <c r="ET47" s="61">
        <v>6.4271999999999991</v>
      </c>
      <c r="EV47" s="54"/>
      <c r="EZ47" s="54"/>
      <c r="FD47" s="54"/>
      <c r="FH47" s="54"/>
      <c r="FL47" s="54"/>
      <c r="FP47" s="54"/>
      <c r="FT47" s="54"/>
      <c r="FX47" s="54"/>
      <c r="GB47" s="54"/>
      <c r="GF47" s="54"/>
    </row>
    <row r="48" spans="1:188" ht="14.4">
      <c r="A48" s="58" t="s">
        <v>365</v>
      </c>
      <c r="B48" s="62">
        <v>17.139199999999999</v>
      </c>
      <c r="D48" s="54"/>
      <c r="E48" s="58" t="s">
        <v>403</v>
      </c>
      <c r="F48" s="62">
        <v>0</v>
      </c>
      <c r="H48" s="54"/>
      <c r="I48" s="58" t="s">
        <v>6</v>
      </c>
      <c r="J48" s="62">
        <v>16.067999999999998</v>
      </c>
      <c r="L48" s="54"/>
      <c r="M48" s="58" t="s">
        <v>5</v>
      </c>
      <c r="N48" s="62">
        <v>13.389999999999999</v>
      </c>
      <c r="P48" s="54"/>
      <c r="Q48" s="189" t="s">
        <v>778</v>
      </c>
      <c r="R48" s="189"/>
      <c r="T48" s="54"/>
      <c r="X48" s="54"/>
      <c r="AB48" s="54"/>
      <c r="AF48" s="54"/>
      <c r="AG48" s="56" t="s">
        <v>620</v>
      </c>
      <c r="AH48" s="61">
        <v>0</v>
      </c>
      <c r="AJ48" s="54"/>
      <c r="AK48" s="56" t="s">
        <v>668</v>
      </c>
      <c r="AL48" s="61">
        <v>0</v>
      </c>
      <c r="AN48" s="54"/>
      <c r="AO48" s="56" t="s">
        <v>655</v>
      </c>
      <c r="AP48" s="61">
        <v>0</v>
      </c>
      <c r="AR48" s="54"/>
      <c r="AS48" s="56" t="s">
        <v>643</v>
      </c>
      <c r="AT48" s="61">
        <v>0</v>
      </c>
      <c r="AV48" s="54"/>
      <c r="AW48" s="58" t="s">
        <v>42</v>
      </c>
      <c r="AX48" s="62">
        <v>-7.6269439999999999</v>
      </c>
      <c r="AZ48" s="54"/>
      <c r="BA48" s="56" t="s">
        <v>632</v>
      </c>
      <c r="BB48" s="61">
        <v>0</v>
      </c>
      <c r="BD48" s="54"/>
      <c r="BE48" s="72" t="s">
        <v>845</v>
      </c>
      <c r="BF48" s="56">
        <v>1.79</v>
      </c>
      <c r="BH48" s="54"/>
      <c r="BI48" s="72" t="s">
        <v>845</v>
      </c>
      <c r="BJ48" s="56">
        <v>1.79</v>
      </c>
      <c r="BL48" s="54"/>
      <c r="BM48" s="58" t="s">
        <v>740</v>
      </c>
      <c r="BN48" s="58">
        <v>0.97</v>
      </c>
      <c r="BP48" s="54"/>
      <c r="BQ48" s="73" t="s">
        <v>847</v>
      </c>
      <c r="BR48" s="73"/>
      <c r="BT48" s="54"/>
      <c r="BU48" s="58" t="s">
        <v>730</v>
      </c>
      <c r="BV48" s="61">
        <v>2.2709440000000001</v>
      </c>
      <c r="BX48" s="54"/>
      <c r="BY48" s="58" t="s">
        <v>740</v>
      </c>
      <c r="BZ48" s="58">
        <v>0.97</v>
      </c>
      <c r="CB48" s="54"/>
      <c r="CF48" s="54"/>
      <c r="CJ48" s="54"/>
      <c r="CK48" s="58" t="s">
        <v>740</v>
      </c>
      <c r="CL48" s="58">
        <v>0.97</v>
      </c>
      <c r="CN48" s="54"/>
      <c r="CR48" s="54"/>
      <c r="CS48" s="58" t="s">
        <v>755</v>
      </c>
      <c r="CT48" s="61">
        <v>11.247599999999998</v>
      </c>
      <c r="CV48" s="54"/>
      <c r="CW48" s="58" t="s">
        <v>745</v>
      </c>
      <c r="CX48" s="61">
        <v>6.4271999999999991</v>
      </c>
      <c r="CZ48" s="54"/>
      <c r="DA48" s="58" t="s">
        <v>746</v>
      </c>
      <c r="DB48" s="61">
        <v>6.4271999999999991</v>
      </c>
      <c r="DD48" s="54"/>
      <c r="DE48" s="58" t="s">
        <v>745</v>
      </c>
      <c r="DF48" s="61">
        <v>6.4271999999999991</v>
      </c>
      <c r="DH48" s="54"/>
      <c r="DI48" s="58" t="s">
        <v>830</v>
      </c>
      <c r="DJ48" s="58">
        <v>10.5</v>
      </c>
      <c r="DL48" s="54"/>
      <c r="DM48" s="55" t="s">
        <v>560</v>
      </c>
      <c r="DN48" s="67">
        <v>-6.4271999999999991</v>
      </c>
      <c r="DP48" s="54"/>
      <c r="DQ48" s="58" t="s">
        <v>758</v>
      </c>
      <c r="DR48" s="56">
        <v>0</v>
      </c>
      <c r="DT48" s="54"/>
      <c r="DU48" s="21" t="s">
        <v>838</v>
      </c>
      <c r="DV48" s="21"/>
      <c r="DX48" s="54"/>
      <c r="EB48" s="54"/>
      <c r="EC48" s="21" t="s">
        <v>778</v>
      </c>
      <c r="ED48" s="21"/>
      <c r="EF48" s="54"/>
      <c r="EG48" s="21" t="s">
        <v>778</v>
      </c>
      <c r="EH48" s="21"/>
      <c r="EJ48" s="54"/>
      <c r="EK48" s="58" t="s">
        <v>744</v>
      </c>
      <c r="EL48" s="61">
        <v>6.4271999999999991</v>
      </c>
      <c r="EN48" s="54"/>
      <c r="ER48" s="54"/>
      <c r="ES48" s="58" t="s">
        <v>745</v>
      </c>
      <c r="ET48" s="61">
        <v>6.4271999999999991</v>
      </c>
      <c r="EV48" s="54"/>
      <c r="EZ48" s="54"/>
      <c r="FD48" s="54"/>
      <c r="FH48" s="54"/>
      <c r="FL48" s="54"/>
      <c r="FP48" s="54"/>
      <c r="FT48" s="54"/>
      <c r="FX48" s="54"/>
      <c r="GB48" s="54"/>
      <c r="GF48" s="54"/>
    </row>
    <row r="49" spans="1:188" ht="14.4">
      <c r="A49" s="58" t="s">
        <v>364</v>
      </c>
      <c r="B49" s="62">
        <v>17.139199999999999</v>
      </c>
      <c r="D49" s="54"/>
      <c r="E49" s="58" t="s">
        <v>400</v>
      </c>
      <c r="F49" s="62">
        <v>0</v>
      </c>
      <c r="H49" s="54"/>
      <c r="I49" s="58" t="s">
        <v>7</v>
      </c>
      <c r="J49" s="62">
        <v>18.745999999999999</v>
      </c>
      <c r="L49" s="54"/>
      <c r="M49" s="58" t="s">
        <v>6</v>
      </c>
      <c r="N49" s="62">
        <v>16.067999999999998</v>
      </c>
      <c r="P49" s="54"/>
      <c r="Q49" s="58" t="s">
        <v>783</v>
      </c>
      <c r="R49" s="56">
        <v>1.46</v>
      </c>
      <c r="T49" s="54"/>
      <c r="X49" s="54"/>
      <c r="AB49" s="54"/>
      <c r="AF49" s="54"/>
      <c r="AG49" s="56" t="s">
        <v>615</v>
      </c>
      <c r="AH49" s="61">
        <v>2.3689587999999997</v>
      </c>
      <c r="AJ49" s="54"/>
      <c r="AK49" s="56" t="s">
        <v>664</v>
      </c>
      <c r="AL49" s="61">
        <v>2.4766144000000003</v>
      </c>
      <c r="AN49" s="54"/>
      <c r="AO49" s="56" t="s">
        <v>651</v>
      </c>
      <c r="AP49" s="61">
        <v>2.6372944</v>
      </c>
      <c r="AR49" s="54"/>
      <c r="AS49" s="56" t="s">
        <v>640</v>
      </c>
      <c r="AT49" s="61">
        <v>2.9672239999999999</v>
      </c>
      <c r="AV49" s="54"/>
      <c r="AW49" s="21" t="s">
        <v>778</v>
      </c>
      <c r="AX49" s="21"/>
      <c r="AZ49" s="54"/>
      <c r="BA49" s="56" t="s">
        <v>628</v>
      </c>
      <c r="BB49" s="61">
        <v>3.7465220000000006</v>
      </c>
      <c r="BD49" s="54"/>
      <c r="BE49" s="72" t="s">
        <v>844</v>
      </c>
      <c r="BF49" s="56">
        <v>2.98</v>
      </c>
      <c r="BH49" s="54"/>
      <c r="BI49" s="72" t="s">
        <v>844</v>
      </c>
      <c r="BJ49" s="56">
        <v>2.98</v>
      </c>
      <c r="BL49" s="54"/>
      <c r="BM49" s="58"/>
      <c r="BN49" s="62"/>
      <c r="BP49" s="54"/>
      <c r="BQ49" s="74" t="s">
        <v>846</v>
      </c>
      <c r="BR49" s="75">
        <v>10.379928</v>
      </c>
      <c r="BT49" s="54"/>
      <c r="BU49" s="58" t="s">
        <v>13</v>
      </c>
      <c r="BV49" s="61">
        <v>0</v>
      </c>
      <c r="BX49" s="54"/>
      <c r="BY49" s="58" t="s">
        <v>585</v>
      </c>
      <c r="BZ49" s="62">
        <v>12.254527999999999</v>
      </c>
      <c r="CB49" s="54"/>
      <c r="CF49" s="54"/>
      <c r="CJ49" s="54"/>
      <c r="CK49" s="58" t="s">
        <v>585</v>
      </c>
      <c r="CL49" s="62">
        <v>12.254527999999999</v>
      </c>
      <c r="CN49" s="54"/>
      <c r="CR49" s="54"/>
      <c r="CS49" s="58" t="s">
        <v>756</v>
      </c>
      <c r="CT49" s="61">
        <v>-9.5443920000000002</v>
      </c>
      <c r="CV49" s="54"/>
      <c r="CW49" s="58" t="s">
        <v>746</v>
      </c>
      <c r="CX49" s="61">
        <v>6.4271999999999991</v>
      </c>
      <c r="CZ49" s="54"/>
      <c r="DA49" s="21" t="s">
        <v>778</v>
      </c>
      <c r="DB49" s="21"/>
      <c r="DD49" s="54"/>
      <c r="DE49" s="58" t="s">
        <v>746</v>
      </c>
      <c r="DF49" s="61">
        <v>6.4271999999999991</v>
      </c>
      <c r="DH49" s="54"/>
      <c r="DI49" s="58" t="s">
        <v>740</v>
      </c>
      <c r="DJ49" s="58">
        <v>0.97</v>
      </c>
      <c r="DL49" s="54"/>
      <c r="DM49" s="58" t="s">
        <v>542</v>
      </c>
      <c r="DN49" s="62">
        <v>3.9527279999999996</v>
      </c>
      <c r="DP49" s="54"/>
      <c r="DQ49" s="58" t="s">
        <v>759</v>
      </c>
      <c r="DR49" s="56">
        <v>0</v>
      </c>
      <c r="DT49" s="54"/>
      <c r="DU49" s="58" t="s">
        <v>830</v>
      </c>
      <c r="DV49" s="58">
        <v>10.5</v>
      </c>
      <c r="DX49" s="54"/>
      <c r="EB49" s="54"/>
      <c r="EC49" s="72" t="s">
        <v>845</v>
      </c>
      <c r="ED49" s="56">
        <v>1.79</v>
      </c>
      <c r="EF49" s="54"/>
      <c r="EG49" s="72" t="s">
        <v>845</v>
      </c>
      <c r="EH49" s="56">
        <v>1.79</v>
      </c>
      <c r="EJ49" s="54"/>
      <c r="EK49" s="58" t="s">
        <v>745</v>
      </c>
      <c r="EL49" s="61">
        <v>6.4271999999999991</v>
      </c>
      <c r="EN49" s="54"/>
      <c r="ER49" s="54"/>
      <c r="ES49" s="58" t="s">
        <v>746</v>
      </c>
      <c r="ET49" s="61">
        <v>6.4271999999999991</v>
      </c>
      <c r="EV49" s="54"/>
      <c r="EZ49" s="54"/>
      <c r="FD49" s="54"/>
      <c r="FH49" s="54"/>
      <c r="FL49" s="54"/>
      <c r="FP49" s="54"/>
      <c r="FT49" s="54"/>
      <c r="FX49" s="54"/>
      <c r="GB49" s="54"/>
      <c r="GF49" s="54"/>
    </row>
    <row r="50" spans="1:188" ht="14.4">
      <c r="A50" s="58" t="s">
        <v>363</v>
      </c>
      <c r="B50" s="62">
        <v>17.139199999999999</v>
      </c>
      <c r="D50" s="54"/>
      <c r="E50" s="58" t="s">
        <v>399</v>
      </c>
      <c r="F50" s="62">
        <v>0</v>
      </c>
      <c r="H50" s="54"/>
      <c r="I50" s="58" t="s">
        <v>287</v>
      </c>
      <c r="J50" s="62">
        <v>21.423999999999999</v>
      </c>
      <c r="L50" s="54"/>
      <c r="M50" s="58" t="s">
        <v>7</v>
      </c>
      <c r="N50" s="62">
        <v>18.745999999999999</v>
      </c>
      <c r="P50" s="54"/>
      <c r="Q50" s="58" t="s">
        <v>780</v>
      </c>
      <c r="R50" s="56">
        <v>2.5499999999999998</v>
      </c>
      <c r="T50" s="54"/>
      <c r="X50" s="54"/>
      <c r="AB50" s="54"/>
      <c r="AF50" s="54"/>
      <c r="AG50" s="56" t="s">
        <v>610</v>
      </c>
      <c r="AH50" s="61">
        <v>4.2641258399999993</v>
      </c>
      <c r="AJ50" s="54"/>
      <c r="AK50" s="56" t="s">
        <v>660</v>
      </c>
      <c r="AL50" s="61">
        <v>4.45790592</v>
      </c>
      <c r="AN50" s="54"/>
      <c r="AO50" s="56" t="s">
        <v>646</v>
      </c>
      <c r="AP50" s="61">
        <v>4.7471299199999999</v>
      </c>
      <c r="AR50" s="54"/>
      <c r="AS50" s="56" t="s">
        <v>636</v>
      </c>
      <c r="AT50" s="61">
        <v>5.3410031999999994</v>
      </c>
      <c r="AV50" s="54"/>
      <c r="AW50" s="72" t="s">
        <v>845</v>
      </c>
      <c r="AX50" s="56">
        <v>1.79</v>
      </c>
      <c r="AZ50" s="54"/>
      <c r="BA50" s="56" t="s">
        <v>624</v>
      </c>
      <c r="BB50" s="61">
        <v>6.7437396000000005</v>
      </c>
      <c r="BD50" s="54"/>
      <c r="BE50" s="21" t="s">
        <v>860</v>
      </c>
      <c r="BF50" s="21"/>
      <c r="BH50" s="54"/>
      <c r="BI50" s="21" t="s">
        <v>860</v>
      </c>
      <c r="BJ50" s="21"/>
      <c r="BL50" s="54"/>
      <c r="BP50" s="54"/>
      <c r="BT50" s="54"/>
      <c r="BU50" s="58" t="s">
        <v>786</v>
      </c>
      <c r="BV50" s="61">
        <v>-0.94265599999999994</v>
      </c>
      <c r="BX50" s="54"/>
      <c r="BY50" s="189" t="s">
        <v>775</v>
      </c>
      <c r="BZ50" s="189"/>
      <c r="CB50" s="54"/>
      <c r="CF50" s="54"/>
      <c r="CG50" s="72"/>
      <c r="CJ50" s="54"/>
      <c r="CK50" s="21" t="s">
        <v>736</v>
      </c>
      <c r="CL50" s="21"/>
      <c r="CN50" s="54"/>
      <c r="CR50" s="54"/>
      <c r="CS50" s="58" t="s">
        <v>757</v>
      </c>
      <c r="CT50" s="61">
        <v>22.495199999999997</v>
      </c>
      <c r="CV50" s="54"/>
      <c r="CW50" s="21" t="s">
        <v>778</v>
      </c>
      <c r="CX50" s="21"/>
      <c r="CZ50" s="54"/>
      <c r="DA50" s="72" t="s">
        <v>845</v>
      </c>
      <c r="DB50" s="56">
        <v>1.79</v>
      </c>
      <c r="DD50" s="54"/>
      <c r="DE50" s="21" t="s">
        <v>778</v>
      </c>
      <c r="DF50" s="21"/>
      <c r="DH50" s="54"/>
      <c r="DI50" s="58" t="s">
        <v>585</v>
      </c>
      <c r="DJ50" s="62">
        <v>12.254527999999999</v>
      </c>
      <c r="DL50" s="54"/>
      <c r="DM50" s="58" t="s">
        <v>508</v>
      </c>
      <c r="DN50" s="62">
        <v>-6</v>
      </c>
      <c r="DP50" s="54"/>
      <c r="DQ50" s="21" t="s">
        <v>778</v>
      </c>
      <c r="DR50" s="21"/>
      <c r="DT50" s="54"/>
      <c r="DU50" s="58" t="s">
        <v>740</v>
      </c>
      <c r="DV50" s="58">
        <v>0.97</v>
      </c>
      <c r="DX50" s="54"/>
      <c r="EB50" s="54"/>
      <c r="EC50" s="72" t="s">
        <v>844</v>
      </c>
      <c r="ED50" s="56">
        <v>2.98</v>
      </c>
      <c r="EF50" s="54"/>
      <c r="EG50" s="72" t="s">
        <v>844</v>
      </c>
      <c r="EH50" s="56">
        <v>2.98</v>
      </c>
      <c r="EJ50" s="54"/>
      <c r="EK50" s="58" t="s">
        <v>746</v>
      </c>
      <c r="EL50" s="61">
        <v>6.4271999999999991</v>
      </c>
      <c r="EN50" s="54"/>
      <c r="ER50" s="54"/>
      <c r="ES50" s="21" t="s">
        <v>778</v>
      </c>
      <c r="ET50" s="21"/>
      <c r="EV50" s="54"/>
      <c r="EZ50" s="54"/>
      <c r="FD50" s="54"/>
      <c r="FH50" s="54"/>
      <c r="FL50" s="54"/>
      <c r="FP50" s="54"/>
      <c r="FT50" s="54"/>
      <c r="FX50" s="54"/>
      <c r="GB50" s="54"/>
      <c r="GF50" s="54"/>
    </row>
    <row r="51" spans="1:188" ht="14.4">
      <c r="A51" s="55" t="s">
        <v>23</v>
      </c>
      <c r="B51" s="62">
        <v>24.637599999999999</v>
      </c>
      <c r="D51" s="54"/>
      <c r="E51" s="58" t="s">
        <v>398</v>
      </c>
      <c r="F51" s="62">
        <v>0</v>
      </c>
      <c r="H51" s="54"/>
      <c r="I51" s="58" t="s">
        <v>284</v>
      </c>
      <c r="J51" s="62"/>
      <c r="L51" s="54"/>
      <c r="M51" s="58" t="s">
        <v>287</v>
      </c>
      <c r="N51" s="62">
        <v>21.423999999999999</v>
      </c>
      <c r="P51" s="54"/>
      <c r="Q51" s="189" t="s">
        <v>834</v>
      </c>
      <c r="R51" s="189"/>
      <c r="T51" s="54"/>
      <c r="X51" s="54"/>
      <c r="AB51" s="54"/>
      <c r="AF51" s="54"/>
      <c r="AG51" s="58" t="s">
        <v>770</v>
      </c>
      <c r="AH51" s="58">
        <v>-8.24</v>
      </c>
      <c r="AJ51" s="54"/>
      <c r="AK51" s="58" t="s">
        <v>550</v>
      </c>
      <c r="AL51" s="62">
        <v>-9.1908959999999986</v>
      </c>
      <c r="AN51" s="54"/>
      <c r="AO51" s="58" t="s">
        <v>559</v>
      </c>
      <c r="AP51" s="62">
        <v>-10.262096</v>
      </c>
      <c r="AR51" s="54"/>
      <c r="AS51" s="58" t="s">
        <v>555</v>
      </c>
      <c r="AT51" s="62">
        <v>-10.85</v>
      </c>
      <c r="AV51" s="54"/>
      <c r="AW51" s="72" t="s">
        <v>844</v>
      </c>
      <c r="AX51" s="56">
        <v>2.98</v>
      </c>
      <c r="AZ51" s="54"/>
      <c r="BA51" s="58" t="s">
        <v>771</v>
      </c>
      <c r="BB51" s="58">
        <v>-15.52</v>
      </c>
      <c r="BD51" s="54"/>
      <c r="BE51" s="76" t="s">
        <v>862</v>
      </c>
      <c r="BF51" s="76">
        <v>1.44</v>
      </c>
      <c r="BH51" s="54"/>
      <c r="BI51" s="76" t="s">
        <v>862</v>
      </c>
      <c r="BJ51" s="76">
        <v>1.44</v>
      </c>
      <c r="BL51" s="54"/>
      <c r="BP51" s="54"/>
      <c r="BT51" s="54"/>
      <c r="BU51" s="58" t="s">
        <v>1363</v>
      </c>
      <c r="BV51" s="61">
        <v>2.1423999999999999</v>
      </c>
      <c r="BX51" s="54"/>
      <c r="BY51" s="58" t="s">
        <v>831</v>
      </c>
      <c r="BZ51" s="58">
        <v>0</v>
      </c>
      <c r="CB51" s="54"/>
      <c r="CF51" s="54"/>
      <c r="CG51" s="72"/>
      <c r="CJ51" s="54"/>
      <c r="CK51" s="58" t="s">
        <v>1001</v>
      </c>
      <c r="CL51" s="61">
        <v>0</v>
      </c>
      <c r="CN51" s="54"/>
      <c r="CR51" s="54"/>
      <c r="CS51" s="58" t="s">
        <v>758</v>
      </c>
      <c r="CT51" s="56">
        <v>0</v>
      </c>
      <c r="CV51" s="54"/>
      <c r="CW51" s="72" t="s">
        <v>845</v>
      </c>
      <c r="CX51" s="56">
        <v>1.79</v>
      </c>
      <c r="CZ51" s="54"/>
      <c r="DA51" s="72" t="s">
        <v>844</v>
      </c>
      <c r="DB51" s="56">
        <v>2.98</v>
      </c>
      <c r="DD51" s="54"/>
      <c r="DE51" s="72" t="s">
        <v>845</v>
      </c>
      <c r="DF51" s="56">
        <v>1.79</v>
      </c>
      <c r="DH51" s="54"/>
      <c r="DI51" s="179" t="s">
        <v>734</v>
      </c>
      <c r="DJ51" s="179"/>
      <c r="DL51" s="54"/>
      <c r="DM51" s="189" t="s">
        <v>739</v>
      </c>
      <c r="DN51" s="189"/>
      <c r="DP51" s="54"/>
      <c r="DQ51" s="72" t="s">
        <v>845</v>
      </c>
      <c r="DR51" s="56">
        <v>1.79</v>
      </c>
      <c r="DT51" s="54"/>
      <c r="DU51" s="58" t="s">
        <v>585</v>
      </c>
      <c r="DV51" s="62">
        <v>12.254527999999999</v>
      </c>
      <c r="DX51" s="54"/>
      <c r="EB51" s="54"/>
      <c r="EC51" s="21" t="s">
        <v>838</v>
      </c>
      <c r="ED51" s="21"/>
      <c r="EF51" s="54"/>
      <c r="EG51" s="21" t="s">
        <v>838</v>
      </c>
      <c r="EH51" s="21"/>
      <c r="EJ51" s="54"/>
      <c r="EK51" s="21" t="s">
        <v>778</v>
      </c>
      <c r="EL51" s="21"/>
      <c r="EN51" s="54"/>
      <c r="ER51" s="54"/>
      <c r="ES51" s="72" t="s">
        <v>845</v>
      </c>
      <c r="ET51" s="56">
        <v>1.79</v>
      </c>
      <c r="EV51" s="54"/>
      <c r="EZ51" s="54"/>
      <c r="FD51" s="54"/>
      <c r="FH51" s="54"/>
      <c r="FL51" s="54"/>
      <c r="FP51" s="54"/>
      <c r="FT51" s="54"/>
      <c r="FX51" s="54"/>
      <c r="GB51" s="54"/>
      <c r="GF51" s="54"/>
    </row>
    <row r="52" spans="1:188" ht="14.4">
      <c r="A52" s="58" t="s">
        <v>362</v>
      </c>
      <c r="B52" s="62">
        <v>24.637599999999999</v>
      </c>
      <c r="D52" s="54"/>
      <c r="E52" s="58" t="s">
        <v>19</v>
      </c>
      <c r="F52" s="62">
        <v>4.2847999999999997</v>
      </c>
      <c r="H52" s="54"/>
      <c r="I52" s="58" t="s">
        <v>8</v>
      </c>
      <c r="J52" s="62">
        <v>24.101999999999997</v>
      </c>
      <c r="L52" s="54"/>
      <c r="M52" s="58" t="s">
        <v>284</v>
      </c>
      <c r="N52" s="62"/>
      <c r="P52" s="54"/>
      <c r="Q52" s="56" t="s">
        <v>785</v>
      </c>
      <c r="R52" s="56">
        <v>3.9</v>
      </c>
      <c r="T52" s="54"/>
      <c r="X52" s="54"/>
      <c r="AB52" s="54"/>
      <c r="AF52" s="54"/>
      <c r="AG52" s="21" t="s">
        <v>778</v>
      </c>
      <c r="AH52" s="21"/>
      <c r="AJ52" s="54"/>
      <c r="AK52" s="21" t="s">
        <v>778</v>
      </c>
      <c r="AL52" s="21"/>
      <c r="AN52" s="54"/>
      <c r="AO52" s="21" t="s">
        <v>778</v>
      </c>
      <c r="AP52" s="21"/>
      <c r="AR52" s="54"/>
      <c r="AS52" s="21" t="s">
        <v>778</v>
      </c>
      <c r="AT52" s="21"/>
      <c r="AV52" s="54"/>
      <c r="AW52" s="73" t="s">
        <v>847</v>
      </c>
      <c r="AX52" s="73"/>
      <c r="AZ52" s="54"/>
      <c r="BA52" s="21" t="s">
        <v>778</v>
      </c>
      <c r="BB52" s="21"/>
      <c r="BD52" s="54"/>
      <c r="BE52" s="73" t="s">
        <v>847</v>
      </c>
      <c r="BF52" s="73"/>
      <c r="BH52" s="54"/>
      <c r="BI52" s="73" t="s">
        <v>847</v>
      </c>
      <c r="BJ52" s="73"/>
      <c r="BL52" s="54"/>
      <c r="BP52" s="54"/>
      <c r="BQ52" s="189"/>
      <c r="BR52" s="189"/>
      <c r="BT52" s="54"/>
      <c r="BU52" s="189" t="s">
        <v>778</v>
      </c>
      <c r="BV52" s="189"/>
      <c r="BX52" s="54"/>
      <c r="BY52" s="58" t="s">
        <v>731</v>
      </c>
      <c r="BZ52" s="58">
        <v>0</v>
      </c>
      <c r="CB52" s="54"/>
      <c r="CF52" s="54"/>
      <c r="CJ52" s="54"/>
      <c r="CK52" s="58" t="s">
        <v>1002</v>
      </c>
      <c r="CL52" s="61">
        <v>0</v>
      </c>
      <c r="CN52" s="54"/>
      <c r="CR52" s="54"/>
      <c r="CS52" s="58" t="s">
        <v>759</v>
      </c>
      <c r="CT52" s="56">
        <v>0</v>
      </c>
      <c r="CV52" s="54"/>
      <c r="CW52" s="72" t="s">
        <v>844</v>
      </c>
      <c r="CX52" s="56">
        <v>2.98</v>
      </c>
      <c r="CZ52" s="54"/>
      <c r="DA52" s="21" t="s">
        <v>838</v>
      </c>
      <c r="DB52" s="21"/>
      <c r="DD52" s="54"/>
      <c r="DE52" s="72" t="s">
        <v>844</v>
      </c>
      <c r="DF52" s="56">
        <v>2.98</v>
      </c>
      <c r="DH52" s="54"/>
      <c r="DI52" s="65" t="s">
        <v>230</v>
      </c>
      <c r="DJ52" s="66"/>
      <c r="DL52" s="54"/>
      <c r="DM52" s="58" t="s">
        <v>730</v>
      </c>
      <c r="DN52" s="61">
        <v>2.2709440000000001</v>
      </c>
      <c r="DP52" s="54"/>
      <c r="DQ52" s="72" t="s">
        <v>844</v>
      </c>
      <c r="DR52" s="56">
        <v>2.98</v>
      </c>
      <c r="DT52" s="54"/>
      <c r="DU52" s="73" t="s">
        <v>847</v>
      </c>
      <c r="DV52" s="73"/>
      <c r="DX52" s="54"/>
      <c r="EB52" s="54"/>
      <c r="EC52" s="58" t="s">
        <v>823</v>
      </c>
      <c r="ED52" s="58">
        <v>11.1</v>
      </c>
      <c r="EF52" s="54"/>
      <c r="EG52" s="58" t="s">
        <v>823</v>
      </c>
      <c r="EH52" s="58">
        <v>11.1</v>
      </c>
      <c r="EJ52" s="54"/>
      <c r="EK52" s="72" t="s">
        <v>845</v>
      </c>
      <c r="EL52" s="56">
        <v>1.79</v>
      </c>
      <c r="EN52" s="54"/>
      <c r="ER52" s="54"/>
      <c r="ES52" s="72" t="s">
        <v>844</v>
      </c>
      <c r="ET52" s="56">
        <v>2.98</v>
      </c>
      <c r="EV52" s="54"/>
      <c r="EZ52" s="54"/>
      <c r="FD52" s="54"/>
      <c r="FH52" s="54"/>
      <c r="FL52" s="54"/>
      <c r="FP52" s="54"/>
      <c r="FT52" s="54"/>
      <c r="FX52" s="54"/>
      <c r="GB52" s="54"/>
      <c r="GF52" s="54"/>
    </row>
    <row r="53" spans="1:188" ht="14.4">
      <c r="A53" s="58" t="s">
        <v>361</v>
      </c>
      <c r="B53" s="62">
        <v>24.637599999999999</v>
      </c>
      <c r="D53" s="54"/>
      <c r="E53" s="58" t="s">
        <v>397</v>
      </c>
      <c r="F53" s="62">
        <v>4.2847999999999997</v>
      </c>
      <c r="H53" s="54"/>
      <c r="I53" s="58" t="s">
        <v>1008</v>
      </c>
      <c r="J53" s="62">
        <v>26.779999999999998</v>
      </c>
      <c r="L53" s="54"/>
      <c r="M53" s="58" t="s">
        <v>8</v>
      </c>
      <c r="N53" s="62">
        <v>24.101999999999997</v>
      </c>
      <c r="P53" s="54"/>
      <c r="Q53" s="189" t="s">
        <v>855</v>
      </c>
      <c r="R53" s="189"/>
      <c r="T53" s="54"/>
      <c r="X53" s="54"/>
      <c r="AB53" s="54"/>
      <c r="AF53" s="54"/>
      <c r="AG53" s="72" t="s">
        <v>845</v>
      </c>
      <c r="AH53" s="56">
        <v>1.79</v>
      </c>
      <c r="AJ53" s="54"/>
      <c r="AK53" s="72" t="s">
        <v>845</v>
      </c>
      <c r="AL53" s="56">
        <v>1.79</v>
      </c>
      <c r="AN53" s="54"/>
      <c r="AO53" s="72" t="s">
        <v>845</v>
      </c>
      <c r="AP53" s="56">
        <v>1.79</v>
      </c>
      <c r="AR53" s="54"/>
      <c r="AS53" s="72" t="s">
        <v>845</v>
      </c>
      <c r="AT53" s="56">
        <v>1.79</v>
      </c>
      <c r="AV53" s="54"/>
      <c r="AW53" s="74" t="s">
        <v>846</v>
      </c>
      <c r="AX53" s="75">
        <v>10.379928</v>
      </c>
      <c r="AZ53" s="54"/>
      <c r="BA53" s="72" t="s">
        <v>845</v>
      </c>
      <c r="BB53" s="56">
        <v>1.79</v>
      </c>
      <c r="BD53" s="54"/>
      <c r="BE53" s="74" t="s">
        <v>846</v>
      </c>
      <c r="BF53" s="75">
        <v>10.379928</v>
      </c>
      <c r="BH53" s="54"/>
      <c r="BI53" s="74" t="s">
        <v>846</v>
      </c>
      <c r="BJ53" s="75">
        <v>10.379928</v>
      </c>
      <c r="BL53" s="54"/>
      <c r="BP53" s="54"/>
      <c r="BQ53" s="77"/>
      <c r="BR53" s="62"/>
      <c r="BT53" s="54"/>
      <c r="BU53" s="72" t="s">
        <v>845</v>
      </c>
      <c r="BV53" s="56">
        <v>1.79</v>
      </c>
      <c r="BX53" s="54"/>
      <c r="BY53" s="58" t="s">
        <v>45</v>
      </c>
      <c r="BZ53" s="58">
        <v>2.14</v>
      </c>
      <c r="CB53" s="54"/>
      <c r="CF53" s="54"/>
      <c r="CJ53" s="54"/>
      <c r="CK53" s="73" t="s">
        <v>847</v>
      </c>
      <c r="CL53" s="73"/>
      <c r="CN53" s="54"/>
      <c r="CR53" s="54"/>
      <c r="CS53" s="134" t="s">
        <v>1061</v>
      </c>
      <c r="CT53" s="138">
        <v>7</v>
      </c>
      <c r="CV53" s="54"/>
      <c r="CW53" s="21" t="s">
        <v>838</v>
      </c>
      <c r="CX53" s="21"/>
      <c r="CZ53" s="54"/>
      <c r="DA53" s="58" t="s">
        <v>823</v>
      </c>
      <c r="DB53" s="58">
        <v>11.1</v>
      </c>
      <c r="DD53" s="54"/>
      <c r="DE53" s="21" t="s">
        <v>838</v>
      </c>
      <c r="DF53" s="21"/>
      <c r="DH53" s="54"/>
      <c r="DI53" s="65" t="s">
        <v>227</v>
      </c>
      <c r="DJ53" s="66"/>
      <c r="DL53" s="54"/>
      <c r="DM53" s="58" t="s">
        <v>13</v>
      </c>
      <c r="DN53" s="61">
        <v>0</v>
      </c>
      <c r="DP53" s="54"/>
      <c r="DQ53" s="21" t="s">
        <v>838</v>
      </c>
      <c r="DR53" s="21"/>
      <c r="DT53" s="54"/>
      <c r="DU53" s="74" t="s">
        <v>846</v>
      </c>
      <c r="DV53" s="75">
        <v>10.379928</v>
      </c>
      <c r="DX53" s="54"/>
      <c r="EB53" s="54"/>
      <c r="EC53" s="58" t="s">
        <v>732</v>
      </c>
      <c r="ED53" s="58">
        <v>1.94</v>
      </c>
      <c r="EF53" s="54"/>
      <c r="EG53" s="58" t="s">
        <v>732</v>
      </c>
      <c r="EH53" s="58">
        <v>1.94</v>
      </c>
      <c r="EJ53" s="54"/>
      <c r="EK53" s="72" t="s">
        <v>844</v>
      </c>
      <c r="EL53" s="56">
        <v>2.98</v>
      </c>
      <c r="EN53" s="54"/>
      <c r="ER53" s="54"/>
      <c r="ES53" s="21" t="s">
        <v>838</v>
      </c>
      <c r="ET53" s="21"/>
      <c r="EV53" s="54"/>
      <c r="EZ53" s="54"/>
      <c r="FD53" s="54"/>
      <c r="FH53" s="54"/>
      <c r="FL53" s="54"/>
      <c r="FP53" s="54"/>
      <c r="FT53" s="54"/>
      <c r="FX53" s="54"/>
      <c r="GB53" s="54"/>
      <c r="GF53" s="54"/>
    </row>
    <row r="54" spans="1:188" ht="14.4">
      <c r="A54" s="58" t="s">
        <v>360</v>
      </c>
      <c r="B54" s="62">
        <v>24.637599999999999</v>
      </c>
      <c r="D54" s="54"/>
      <c r="E54" s="58" t="s">
        <v>396</v>
      </c>
      <c r="F54" s="62">
        <v>4.2847999999999997</v>
      </c>
      <c r="H54" s="54"/>
      <c r="I54" s="58" t="s">
        <v>9</v>
      </c>
      <c r="J54" s="62">
        <v>29.457999999999998</v>
      </c>
      <c r="L54" s="54"/>
      <c r="M54" s="58" t="s">
        <v>279</v>
      </c>
      <c r="N54" s="62">
        <v>26.779999999999998</v>
      </c>
      <c r="P54" s="54"/>
      <c r="Q54" s="56" t="s">
        <v>843</v>
      </c>
      <c r="R54" s="56">
        <v>8.15</v>
      </c>
      <c r="T54" s="54"/>
      <c r="X54" s="54"/>
      <c r="AB54" s="54"/>
      <c r="AF54" s="54"/>
      <c r="AG54" s="72" t="s">
        <v>844</v>
      </c>
      <c r="AH54" s="56">
        <v>2.98</v>
      </c>
      <c r="AJ54" s="54"/>
      <c r="AK54" s="72" t="s">
        <v>844</v>
      </c>
      <c r="AL54" s="56">
        <v>2.98</v>
      </c>
      <c r="AN54" s="54"/>
      <c r="AO54" s="72" t="s">
        <v>844</v>
      </c>
      <c r="AP54" s="56">
        <v>2.98</v>
      </c>
      <c r="AR54" s="54"/>
      <c r="AS54" s="72" t="s">
        <v>844</v>
      </c>
      <c r="AT54" s="56">
        <v>2.98</v>
      </c>
      <c r="AV54" s="54"/>
      <c r="AW54" s="21" t="s">
        <v>838</v>
      </c>
      <c r="AX54" s="21"/>
      <c r="AZ54" s="54"/>
      <c r="BA54" s="72" t="s">
        <v>844</v>
      </c>
      <c r="BB54" s="56">
        <v>2.98</v>
      </c>
      <c r="BD54" s="54"/>
      <c r="BE54" s="21" t="s">
        <v>838</v>
      </c>
      <c r="BF54" s="21"/>
      <c r="BH54" s="54"/>
      <c r="BI54" s="21" t="s">
        <v>838</v>
      </c>
      <c r="BJ54" s="21"/>
      <c r="BL54" s="54"/>
      <c r="BP54" s="54"/>
      <c r="BT54" s="54"/>
      <c r="BU54" s="72" t="s">
        <v>844</v>
      </c>
      <c r="BV54" s="56">
        <v>2.98</v>
      </c>
      <c r="BX54" s="54"/>
      <c r="BY54" s="58" t="s">
        <v>46</v>
      </c>
      <c r="BZ54" s="58">
        <v>3.21</v>
      </c>
      <c r="CB54" s="54"/>
      <c r="CF54" s="54"/>
      <c r="CJ54" s="54"/>
      <c r="CK54" s="74" t="s">
        <v>846</v>
      </c>
      <c r="CL54" s="75">
        <v>10.379928</v>
      </c>
      <c r="CN54" s="54"/>
      <c r="CR54" s="54"/>
      <c r="CS54" s="134" t="s">
        <v>1062</v>
      </c>
      <c r="CT54" s="145">
        <v>7</v>
      </c>
      <c r="CV54" s="54"/>
      <c r="CW54" s="58" t="s">
        <v>823</v>
      </c>
      <c r="CX54" s="58">
        <v>11.1</v>
      </c>
      <c r="CZ54" s="54"/>
      <c r="DA54" s="58" t="s">
        <v>732</v>
      </c>
      <c r="DB54" s="58">
        <v>1.94</v>
      </c>
      <c r="DD54" s="54"/>
      <c r="DE54" s="58" t="s">
        <v>823</v>
      </c>
      <c r="DF54" s="58">
        <v>11.1</v>
      </c>
      <c r="DH54" s="54"/>
      <c r="DI54" s="65" t="s">
        <v>224</v>
      </c>
      <c r="DJ54" s="66"/>
      <c r="DL54" s="54"/>
      <c r="DM54" s="58" t="s">
        <v>786</v>
      </c>
      <c r="DN54" s="61">
        <v>-0.94265599999999994</v>
      </c>
      <c r="DP54" s="54"/>
      <c r="DQ54" s="58" t="s">
        <v>830</v>
      </c>
      <c r="DR54" s="58">
        <v>10.5</v>
      </c>
      <c r="DT54" s="54"/>
      <c r="DX54" s="54"/>
      <c r="EB54" s="54"/>
      <c r="EC54" s="58" t="s">
        <v>585</v>
      </c>
      <c r="ED54" s="62">
        <v>12.254527999999999</v>
      </c>
      <c r="EF54" s="54"/>
      <c r="EG54" s="58" t="s">
        <v>830</v>
      </c>
      <c r="EH54" s="58">
        <v>10.5</v>
      </c>
      <c r="EJ54" s="54"/>
      <c r="EK54" s="21" t="s">
        <v>838</v>
      </c>
      <c r="EL54" s="21"/>
      <c r="EN54" s="54"/>
      <c r="ER54" s="54"/>
      <c r="ES54" s="58" t="s">
        <v>830</v>
      </c>
      <c r="ET54" s="58">
        <v>10.5</v>
      </c>
      <c r="EV54" s="54"/>
      <c r="EZ54" s="54"/>
      <c r="FD54" s="54"/>
      <c r="FH54" s="54"/>
      <c r="FL54" s="54"/>
      <c r="FP54" s="54"/>
      <c r="FT54" s="54"/>
      <c r="FX54" s="54"/>
      <c r="GB54" s="54"/>
      <c r="GF54" s="54"/>
    </row>
    <row r="55" spans="1:188" ht="14.4">
      <c r="A55" s="55" t="s">
        <v>24</v>
      </c>
      <c r="B55" s="62">
        <v>32.135999999999996</v>
      </c>
      <c r="D55" s="54"/>
      <c r="E55" s="58" t="s">
        <v>393</v>
      </c>
      <c r="F55" s="62">
        <v>4.2847999999999997</v>
      </c>
      <c r="H55" s="54"/>
      <c r="I55" s="58" t="s">
        <v>274</v>
      </c>
      <c r="J55" s="62">
        <v>32.135999999999996</v>
      </c>
      <c r="L55" s="54"/>
      <c r="M55" s="58" t="s">
        <v>9</v>
      </c>
      <c r="N55" s="62">
        <v>29.457999999999998</v>
      </c>
      <c r="P55" s="54"/>
      <c r="Q55" s="189" t="s">
        <v>837</v>
      </c>
      <c r="R55" s="189"/>
      <c r="T55" s="54"/>
      <c r="X55" s="54"/>
      <c r="AB55" s="54"/>
      <c r="AF55" s="54"/>
      <c r="AG55" s="73" t="s">
        <v>847</v>
      </c>
      <c r="AH55" s="73"/>
      <c r="AJ55" s="54"/>
      <c r="AK55" s="73" t="s">
        <v>847</v>
      </c>
      <c r="AL55" s="73"/>
      <c r="AN55" s="54"/>
      <c r="AO55" s="73" t="s">
        <v>847</v>
      </c>
      <c r="AP55" s="73"/>
      <c r="AR55" s="54"/>
      <c r="AS55" s="73" t="s">
        <v>847</v>
      </c>
      <c r="AT55" s="73"/>
      <c r="AV55" s="54"/>
      <c r="AW55" s="58" t="s">
        <v>830</v>
      </c>
      <c r="AX55" s="58">
        <v>10.5</v>
      </c>
      <c r="AZ55" s="54"/>
      <c r="BA55" s="120" t="s">
        <v>855</v>
      </c>
      <c r="BB55" s="120"/>
      <c r="BD55" s="54"/>
      <c r="BE55" s="58" t="s">
        <v>830</v>
      </c>
      <c r="BF55" s="58">
        <v>10.5</v>
      </c>
      <c r="BH55" s="54"/>
      <c r="BI55" s="58" t="s">
        <v>830</v>
      </c>
      <c r="BJ55" s="58">
        <v>10.5</v>
      </c>
      <c r="BL55" s="54"/>
      <c r="BP55" s="54"/>
      <c r="BT55" s="54"/>
      <c r="BU55" s="189" t="s">
        <v>572</v>
      </c>
      <c r="BV55" s="189"/>
      <c r="BX55" s="54"/>
      <c r="BY55" s="58" t="s">
        <v>832</v>
      </c>
      <c r="BZ55" s="58">
        <v>-2.27</v>
      </c>
      <c r="CB55" s="54"/>
      <c r="CF55" s="54"/>
      <c r="CJ55" s="54"/>
      <c r="CK55" s="74"/>
      <c r="CL55" s="75"/>
      <c r="CN55" s="54"/>
      <c r="CR55" s="54"/>
      <c r="CS55" s="58" t="s">
        <v>765</v>
      </c>
      <c r="CT55" s="62">
        <v>0</v>
      </c>
      <c r="CV55" s="54"/>
      <c r="CW55" s="58" t="s">
        <v>732</v>
      </c>
      <c r="CX55" s="58">
        <v>1.94</v>
      </c>
      <c r="CZ55" s="54"/>
      <c r="DA55" s="58" t="s">
        <v>830</v>
      </c>
      <c r="DB55" s="58">
        <v>10.5</v>
      </c>
      <c r="DD55" s="54"/>
      <c r="DE55" s="58" t="s">
        <v>732</v>
      </c>
      <c r="DF55" s="58">
        <v>1.94</v>
      </c>
      <c r="DH55" s="54"/>
      <c r="DI55" s="65" t="s">
        <v>221</v>
      </c>
      <c r="DJ55" s="66"/>
      <c r="DL55" s="54"/>
      <c r="DM55" s="21" t="s">
        <v>736</v>
      </c>
      <c r="DN55" s="21"/>
      <c r="DP55" s="54"/>
      <c r="DQ55" s="58" t="s">
        <v>740</v>
      </c>
      <c r="DR55" s="58">
        <v>0.97</v>
      </c>
      <c r="DT55" s="54"/>
      <c r="DX55" s="54"/>
      <c r="EB55" s="54"/>
      <c r="EC55" s="73" t="s">
        <v>847</v>
      </c>
      <c r="ED55" s="73"/>
      <c r="EF55" s="54"/>
      <c r="EG55" s="58" t="s">
        <v>740</v>
      </c>
      <c r="EH55" s="58">
        <v>0.97</v>
      </c>
      <c r="EJ55" s="54"/>
      <c r="EK55" s="58" t="s">
        <v>830</v>
      </c>
      <c r="EL55" s="58">
        <v>10.5</v>
      </c>
      <c r="EN55" s="54"/>
      <c r="ER55" s="54"/>
      <c r="ES55" s="58" t="s">
        <v>740</v>
      </c>
      <c r="ET55" s="58">
        <v>0.97</v>
      </c>
      <c r="EV55" s="54"/>
      <c r="EZ55" s="54"/>
      <c r="FD55" s="54"/>
      <c r="FH55" s="54"/>
      <c r="FL55" s="54"/>
      <c r="FP55" s="54"/>
      <c r="FT55" s="54"/>
      <c r="FX55" s="54"/>
      <c r="GB55" s="54"/>
      <c r="GF55" s="54"/>
    </row>
    <row r="56" spans="1:188" ht="14.4">
      <c r="A56" s="58" t="s">
        <v>359</v>
      </c>
      <c r="B56" s="62">
        <v>32.135999999999996</v>
      </c>
      <c r="D56" s="54"/>
      <c r="E56" s="58" t="s">
        <v>20</v>
      </c>
      <c r="F56" s="62">
        <v>8.5695999999999994</v>
      </c>
      <c r="H56" s="54"/>
      <c r="I56" s="58" t="s">
        <v>10</v>
      </c>
      <c r="J56" s="62">
        <v>34.814</v>
      </c>
      <c r="L56" s="54"/>
      <c r="M56" s="58" t="s">
        <v>274</v>
      </c>
      <c r="N56" s="62">
        <v>32.135999999999996</v>
      </c>
      <c r="P56" s="54"/>
      <c r="Q56" s="56" t="s">
        <v>779</v>
      </c>
      <c r="R56" s="62">
        <v>6.57</v>
      </c>
      <c r="T56" s="54"/>
      <c r="X56" s="54"/>
      <c r="AB56" s="54"/>
      <c r="AF56" s="54"/>
      <c r="AG56" s="74" t="s">
        <v>846</v>
      </c>
      <c r="AH56" s="75">
        <v>10.379928</v>
      </c>
      <c r="AJ56" s="54"/>
      <c r="AK56" s="74" t="s">
        <v>846</v>
      </c>
      <c r="AL56" s="75">
        <v>10.379928</v>
      </c>
      <c r="AN56" s="54"/>
      <c r="AO56" s="74" t="s">
        <v>846</v>
      </c>
      <c r="AP56" s="75">
        <v>10.379928</v>
      </c>
      <c r="AR56" s="54"/>
      <c r="AS56" s="74" t="s">
        <v>846</v>
      </c>
      <c r="AT56" s="75">
        <v>10.379928</v>
      </c>
      <c r="AV56" s="54"/>
      <c r="AW56" s="58" t="s">
        <v>740</v>
      </c>
      <c r="AX56" s="58">
        <v>0.97</v>
      </c>
      <c r="AZ56" s="54"/>
      <c r="BA56" s="56" t="s">
        <v>861</v>
      </c>
      <c r="BB56" s="56">
        <v>12.5</v>
      </c>
      <c r="BD56" s="54"/>
      <c r="BE56" s="58" t="s">
        <v>740</v>
      </c>
      <c r="BF56" s="58">
        <v>0.97</v>
      </c>
      <c r="BH56" s="54"/>
      <c r="BI56" s="58" t="s">
        <v>740</v>
      </c>
      <c r="BJ56" s="58">
        <v>0.97</v>
      </c>
      <c r="BL56" s="54"/>
      <c r="BP56" s="54"/>
      <c r="BT56" s="54"/>
      <c r="BU56" s="77" t="s">
        <v>572</v>
      </c>
      <c r="BV56" s="62">
        <v>2.86</v>
      </c>
      <c r="BX56" s="54"/>
      <c r="BY56" s="73" t="s">
        <v>847</v>
      </c>
      <c r="BZ56" s="73"/>
      <c r="CB56" s="54"/>
      <c r="CF56" s="54"/>
      <c r="CJ56" s="54"/>
      <c r="CN56" s="54"/>
      <c r="CR56" s="54"/>
      <c r="CS56" s="58" t="s">
        <v>766</v>
      </c>
      <c r="CT56" s="58">
        <v>0</v>
      </c>
      <c r="CV56" s="54"/>
      <c r="CW56" s="58" t="s">
        <v>830</v>
      </c>
      <c r="CX56" s="58">
        <v>10.5</v>
      </c>
      <c r="CZ56" s="54"/>
      <c r="DA56" s="58" t="s">
        <v>740</v>
      </c>
      <c r="DB56" s="58">
        <v>0.97</v>
      </c>
      <c r="DD56" s="54"/>
      <c r="DE56" s="58" t="s">
        <v>830</v>
      </c>
      <c r="DF56" s="58">
        <v>10.5</v>
      </c>
      <c r="DH56" s="54"/>
      <c r="DI56" s="65" t="s">
        <v>218</v>
      </c>
      <c r="DJ56" s="66"/>
      <c r="DL56" s="54"/>
      <c r="DM56" s="58" t="s">
        <v>758</v>
      </c>
      <c r="DN56" s="56">
        <v>0</v>
      </c>
      <c r="DP56" s="54"/>
      <c r="DQ56" s="58" t="s">
        <v>585</v>
      </c>
      <c r="DR56" s="62">
        <v>12.254527999999999</v>
      </c>
      <c r="DT56" s="54"/>
      <c r="DX56" s="54"/>
      <c r="EB56" s="54"/>
      <c r="EC56" s="74" t="s">
        <v>846</v>
      </c>
      <c r="ED56" s="75">
        <v>10.379928</v>
      </c>
      <c r="EF56" s="54"/>
      <c r="EG56" s="58" t="s">
        <v>585</v>
      </c>
      <c r="EH56" s="62">
        <v>12.254527999999999</v>
      </c>
      <c r="EJ56" s="54"/>
      <c r="EK56" s="58" t="s">
        <v>740</v>
      </c>
      <c r="EL56" s="58">
        <v>0.97</v>
      </c>
      <c r="EN56" s="54"/>
      <c r="ER56" s="54"/>
      <c r="ES56" s="58" t="s">
        <v>585</v>
      </c>
      <c r="ET56" s="62">
        <v>12.254527999999999</v>
      </c>
      <c r="EV56" s="54"/>
      <c r="EZ56" s="54"/>
      <c r="FD56" s="54"/>
      <c r="FH56" s="54"/>
      <c r="FL56" s="54"/>
      <c r="FP56" s="54"/>
      <c r="FT56" s="54"/>
      <c r="FX56" s="54"/>
      <c r="GB56" s="54"/>
      <c r="GF56" s="54"/>
    </row>
    <row r="57" spans="1:188" ht="14.4">
      <c r="A57" s="58" t="s">
        <v>357</v>
      </c>
      <c r="B57" s="62">
        <v>32.135999999999996</v>
      </c>
      <c r="D57" s="54"/>
      <c r="E57" s="58" t="s">
        <v>388</v>
      </c>
      <c r="F57" s="62">
        <v>8.5695999999999994</v>
      </c>
      <c r="H57" s="54"/>
      <c r="I57" s="58" t="s">
        <v>11</v>
      </c>
      <c r="J57" s="62">
        <v>37.491999999999997</v>
      </c>
      <c r="L57" s="54"/>
      <c r="M57" s="58" t="s">
        <v>10</v>
      </c>
      <c r="N57" s="62">
        <v>34.814</v>
      </c>
      <c r="P57" s="54"/>
      <c r="Q57" s="189" t="s">
        <v>839</v>
      </c>
      <c r="R57" s="189"/>
      <c r="T57" s="54"/>
      <c r="X57" s="54"/>
      <c r="AB57" s="54"/>
      <c r="AF57" s="54"/>
      <c r="AG57" s="21" t="s">
        <v>838</v>
      </c>
      <c r="AH57" s="21"/>
      <c r="AJ57" s="54"/>
      <c r="AK57" s="21" t="s">
        <v>838</v>
      </c>
      <c r="AL57" s="21"/>
      <c r="AN57" s="54"/>
      <c r="AO57" s="21" t="s">
        <v>838</v>
      </c>
      <c r="AP57" s="21"/>
      <c r="AR57" s="54"/>
      <c r="AS57" s="21" t="s">
        <v>838</v>
      </c>
      <c r="AT57" s="21"/>
      <c r="AV57" s="54"/>
      <c r="AW57" s="58"/>
      <c r="AX57" s="62"/>
      <c r="AZ57" s="54"/>
      <c r="BA57" s="180" t="s">
        <v>847</v>
      </c>
      <c r="BB57" s="180"/>
      <c r="BD57" s="54"/>
      <c r="BE57" s="58"/>
      <c r="BF57" s="58"/>
      <c r="BH57" s="54"/>
      <c r="BI57" s="58"/>
      <c r="BJ57" s="58"/>
      <c r="BL57" s="54"/>
      <c r="BP57" s="54"/>
      <c r="BT57" s="54"/>
      <c r="BU57" s="189" t="s">
        <v>838</v>
      </c>
      <c r="BV57" s="189"/>
      <c r="BX57" s="54"/>
      <c r="BY57" s="74" t="s">
        <v>846</v>
      </c>
      <c r="BZ57" s="75">
        <v>10.379928</v>
      </c>
      <c r="CB57" s="54"/>
      <c r="CF57" s="54"/>
      <c r="CJ57" s="54"/>
      <c r="CN57" s="54"/>
      <c r="CR57" s="54"/>
      <c r="CS57" s="21" t="s">
        <v>778</v>
      </c>
      <c r="CT57" s="21"/>
      <c r="CV57" s="54"/>
      <c r="CW57" s="58" t="s">
        <v>740</v>
      </c>
      <c r="CX57" s="58">
        <v>0.97</v>
      </c>
      <c r="CZ57" s="54"/>
      <c r="DA57" s="58" t="s">
        <v>585</v>
      </c>
      <c r="DB57" s="62">
        <v>12.254527999999999</v>
      </c>
      <c r="DD57" s="54"/>
      <c r="DE57" s="58" t="s">
        <v>740</v>
      </c>
      <c r="DF57" s="58">
        <v>0.97</v>
      </c>
      <c r="DH57" s="54"/>
      <c r="DI57" s="65" t="s">
        <v>215</v>
      </c>
      <c r="DJ57" s="66"/>
      <c r="DL57" s="54"/>
      <c r="DM57" s="58" t="s">
        <v>759</v>
      </c>
      <c r="DN57" s="56">
        <v>0</v>
      </c>
      <c r="DP57" s="54"/>
      <c r="DQ57" s="73" t="s">
        <v>847</v>
      </c>
      <c r="DR57" s="73"/>
      <c r="DT57" s="54"/>
      <c r="DX57" s="54"/>
      <c r="EB57" s="54"/>
      <c r="EC57" s="74" t="s">
        <v>846</v>
      </c>
      <c r="ED57" s="75">
        <v>10.379928</v>
      </c>
      <c r="EF57" s="54"/>
      <c r="EG57" s="73" t="s">
        <v>847</v>
      </c>
      <c r="EH57" s="73"/>
      <c r="EJ57" s="54"/>
      <c r="EK57" s="58" t="s">
        <v>585</v>
      </c>
      <c r="EL57" s="62">
        <v>12.254527999999999</v>
      </c>
      <c r="EN57" s="54"/>
      <c r="ER57" s="54"/>
      <c r="ES57" s="73" t="s">
        <v>847</v>
      </c>
      <c r="ET57" s="73"/>
      <c r="EV57" s="54"/>
      <c r="EZ57" s="54"/>
      <c r="FD57" s="54"/>
      <c r="FH57" s="54"/>
      <c r="FL57" s="54"/>
      <c r="FP57" s="54"/>
      <c r="FT57" s="54"/>
      <c r="FX57" s="54"/>
      <c r="GB57" s="54"/>
      <c r="GF57" s="54"/>
    </row>
    <row r="58" spans="1:188" ht="14.4">
      <c r="A58" s="58" t="s">
        <v>355</v>
      </c>
      <c r="B58" s="62">
        <v>32.135999999999996</v>
      </c>
      <c r="D58" s="54"/>
      <c r="E58" s="58" t="s">
        <v>385</v>
      </c>
      <c r="F58" s="62">
        <v>8.5695999999999994</v>
      </c>
      <c r="H58" s="54"/>
      <c r="I58" s="58" t="s">
        <v>1003</v>
      </c>
      <c r="J58" s="62">
        <v>40.169999999999995</v>
      </c>
      <c r="L58" s="54"/>
      <c r="M58" s="58" t="s">
        <v>11</v>
      </c>
      <c r="N58" s="62">
        <v>37.491999999999997</v>
      </c>
      <c r="P58" s="54"/>
      <c r="Q58" s="58" t="s">
        <v>840</v>
      </c>
      <c r="R58" s="62">
        <v>6.2</v>
      </c>
      <c r="T58" s="54"/>
      <c r="X58" s="54"/>
      <c r="AB58" s="54"/>
      <c r="AF58" s="54"/>
      <c r="AG58" s="58" t="s">
        <v>830</v>
      </c>
      <c r="AH58" s="58">
        <v>10.5</v>
      </c>
      <c r="AJ58" s="54"/>
      <c r="AK58" s="58" t="s">
        <v>830</v>
      </c>
      <c r="AL58" s="58">
        <v>10.5</v>
      </c>
      <c r="AN58" s="54"/>
      <c r="AO58" s="58" t="s">
        <v>830</v>
      </c>
      <c r="AP58" s="58">
        <v>10.5</v>
      </c>
      <c r="AR58" s="54"/>
      <c r="AS58" s="58" t="s">
        <v>830</v>
      </c>
      <c r="AT58" s="58">
        <v>10.5</v>
      </c>
      <c r="AV58" s="54"/>
      <c r="AZ58" s="54"/>
      <c r="BA58" s="74" t="s">
        <v>846</v>
      </c>
      <c r="BB58" s="75">
        <v>10.379928</v>
      </c>
      <c r="BD58" s="54"/>
      <c r="BE58" s="58"/>
      <c r="BF58" s="62"/>
      <c r="BH58" s="54"/>
      <c r="BI58" s="58"/>
      <c r="BJ58" s="62"/>
      <c r="BL58" s="54"/>
      <c r="BP58" s="54"/>
      <c r="BT58" s="54"/>
      <c r="BU58" s="58" t="s">
        <v>830</v>
      </c>
      <c r="BV58" s="58">
        <v>10.5</v>
      </c>
      <c r="BX58" s="54"/>
      <c r="CC58" s="72"/>
      <c r="CF58" s="54"/>
      <c r="CJ58" s="54"/>
      <c r="CN58" s="54"/>
      <c r="CR58" s="54"/>
      <c r="CS58" s="72" t="s">
        <v>845</v>
      </c>
      <c r="CT58" s="56">
        <v>1.79</v>
      </c>
      <c r="CV58" s="54"/>
      <c r="CW58" s="58" t="s">
        <v>585</v>
      </c>
      <c r="CX58" s="62">
        <v>12.254527999999999</v>
      </c>
      <c r="CZ58" s="54"/>
      <c r="DA58" s="73" t="s">
        <v>847</v>
      </c>
      <c r="DB58" s="73"/>
      <c r="DD58" s="54"/>
      <c r="DE58" s="58" t="s">
        <v>585</v>
      </c>
      <c r="DF58" s="62">
        <v>12.254527999999999</v>
      </c>
      <c r="DH58" s="54"/>
      <c r="DI58" s="65" t="s">
        <v>212</v>
      </c>
      <c r="DJ58" s="66"/>
      <c r="DL58" s="54"/>
      <c r="DM58" s="58" t="s">
        <v>760</v>
      </c>
      <c r="DN58" s="56">
        <v>4.18</v>
      </c>
      <c r="DP58" s="54"/>
      <c r="DQ58" s="74" t="s">
        <v>846</v>
      </c>
      <c r="DR58" s="75">
        <v>10.379928</v>
      </c>
      <c r="DT58" s="54"/>
      <c r="DX58" s="54"/>
      <c r="EB58" s="54"/>
      <c r="EF58" s="54"/>
      <c r="EG58" s="74" t="s">
        <v>846</v>
      </c>
      <c r="EH58" s="75">
        <v>10.379928</v>
      </c>
      <c r="EJ58" s="54"/>
      <c r="EK58" s="179" t="s">
        <v>734</v>
      </c>
      <c r="EL58" s="179"/>
      <c r="EN58" s="54"/>
      <c r="ER58" s="54"/>
      <c r="ES58" s="74" t="s">
        <v>846</v>
      </c>
      <c r="ET58" s="75">
        <v>10.379928</v>
      </c>
      <c r="EV58" s="54"/>
      <c r="EZ58" s="54"/>
      <c r="FD58" s="54"/>
      <c r="FH58" s="54"/>
      <c r="FL58" s="54"/>
      <c r="FP58" s="54"/>
      <c r="FT58" s="54"/>
      <c r="FX58" s="54"/>
      <c r="GB58" s="54"/>
      <c r="GF58" s="54"/>
    </row>
    <row r="59" spans="1:188" ht="14.4">
      <c r="A59" s="55" t="s">
        <v>25</v>
      </c>
      <c r="B59" s="62">
        <v>39.634399999999999</v>
      </c>
      <c r="D59" s="54"/>
      <c r="E59" s="58" t="s">
        <v>382</v>
      </c>
      <c r="F59" s="62">
        <v>8.5695999999999994</v>
      </c>
      <c r="H59" s="54"/>
      <c r="I59" s="189" t="s">
        <v>736</v>
      </c>
      <c r="J59" s="189"/>
      <c r="L59" s="54"/>
      <c r="M59" s="58" t="s">
        <v>1003</v>
      </c>
      <c r="N59" s="62">
        <v>40.169999999999995</v>
      </c>
      <c r="P59" s="54"/>
      <c r="T59" s="54"/>
      <c r="X59" s="54"/>
      <c r="AB59" s="54"/>
      <c r="AF59" s="54"/>
      <c r="AG59" s="58" t="s">
        <v>740</v>
      </c>
      <c r="AH59" s="58">
        <v>0.97</v>
      </c>
      <c r="AJ59" s="54"/>
      <c r="AK59" s="58" t="s">
        <v>740</v>
      </c>
      <c r="AL59" s="58">
        <v>0.97</v>
      </c>
      <c r="AN59" s="54"/>
      <c r="AO59" s="58" t="s">
        <v>740</v>
      </c>
      <c r="AP59" s="58">
        <v>0.97</v>
      </c>
      <c r="AR59" s="54"/>
      <c r="AS59" s="58" t="s">
        <v>740</v>
      </c>
      <c r="AT59" s="58">
        <v>0.97</v>
      </c>
      <c r="AV59" s="54"/>
      <c r="AZ59" s="54"/>
      <c r="BA59" s="21" t="s">
        <v>838</v>
      </c>
      <c r="BB59" s="21"/>
      <c r="BD59" s="54"/>
      <c r="BH59" s="54"/>
      <c r="BL59" s="54"/>
      <c r="BP59" s="54"/>
      <c r="BT59" s="54"/>
      <c r="BU59" s="58" t="s">
        <v>740</v>
      </c>
      <c r="BV59" s="58">
        <v>0.97</v>
      </c>
      <c r="BX59" s="54"/>
      <c r="CC59" s="72"/>
      <c r="CF59" s="54"/>
      <c r="CJ59" s="54"/>
      <c r="CN59" s="54"/>
      <c r="CR59" s="54"/>
      <c r="CS59" s="72" t="s">
        <v>844</v>
      </c>
      <c r="CT59" s="56">
        <v>2.98</v>
      </c>
      <c r="CV59" s="54"/>
      <c r="CW59" s="73" t="s">
        <v>847</v>
      </c>
      <c r="CX59" s="73"/>
      <c r="CZ59" s="54"/>
      <c r="DA59" s="74" t="s">
        <v>846</v>
      </c>
      <c r="DB59" s="75">
        <v>10.379928</v>
      </c>
      <c r="DD59" s="54"/>
      <c r="DE59" s="73" t="s">
        <v>847</v>
      </c>
      <c r="DF59" s="73"/>
      <c r="DH59" s="54"/>
      <c r="DI59" s="65" t="s">
        <v>209</v>
      </c>
      <c r="DJ59" s="66"/>
      <c r="DL59" s="54"/>
      <c r="DM59" s="58" t="s">
        <v>761</v>
      </c>
      <c r="DN59" s="58">
        <v>4.18</v>
      </c>
      <c r="DP59" s="54"/>
      <c r="DT59" s="54"/>
      <c r="DX59" s="54"/>
      <c r="EB59" s="54"/>
      <c r="EF59" s="54"/>
      <c r="EG59" s="74"/>
      <c r="EH59" s="75"/>
      <c r="EJ59" s="54"/>
      <c r="EK59" s="65" t="s">
        <v>423</v>
      </c>
      <c r="EL59" s="65">
        <v>0.6</v>
      </c>
      <c r="EN59" s="54"/>
      <c r="ER59" s="54"/>
      <c r="ES59" s="74"/>
      <c r="ET59" s="75"/>
      <c r="EV59" s="54"/>
      <c r="EZ59" s="54"/>
      <c r="FD59" s="54"/>
      <c r="FH59" s="54"/>
      <c r="FL59" s="54"/>
      <c r="FP59" s="54"/>
      <c r="FT59" s="54"/>
      <c r="FX59" s="54"/>
      <c r="GB59" s="54"/>
      <c r="GF59" s="54"/>
    </row>
    <row r="60" spans="1:188" ht="14.4">
      <c r="A60" s="58" t="s">
        <v>352</v>
      </c>
      <c r="B60" s="62">
        <v>39.634399999999999</v>
      </c>
      <c r="D60" s="54"/>
      <c r="E60" s="58" t="s">
        <v>379</v>
      </c>
      <c r="F60" s="62">
        <v>8.5695999999999994</v>
      </c>
      <c r="H60" s="54"/>
      <c r="I60" s="55" t="s">
        <v>741</v>
      </c>
      <c r="J60" s="67">
        <v>0</v>
      </c>
      <c r="L60" s="54"/>
      <c r="M60" s="189" t="s">
        <v>736</v>
      </c>
      <c r="N60" s="189"/>
      <c r="P60" s="54"/>
      <c r="T60" s="54"/>
      <c r="X60" s="54"/>
      <c r="AB60" s="54"/>
      <c r="AF60" s="54"/>
      <c r="AG60" s="58"/>
      <c r="AH60" s="58"/>
      <c r="AJ60" s="54"/>
      <c r="AK60" s="58"/>
      <c r="AL60" s="62"/>
      <c r="AN60" s="54"/>
      <c r="AO60" s="58"/>
      <c r="AP60" s="62"/>
      <c r="AR60" s="54"/>
      <c r="AS60" s="58"/>
      <c r="AT60" s="62"/>
      <c r="AV60" s="54"/>
      <c r="AZ60" s="54"/>
      <c r="BA60" s="58" t="s">
        <v>830</v>
      </c>
      <c r="BB60" s="58">
        <v>10.5</v>
      </c>
      <c r="BD60" s="54"/>
      <c r="BH60" s="54"/>
      <c r="BL60" s="54"/>
      <c r="BP60" s="54"/>
      <c r="BT60" s="54"/>
      <c r="BU60" s="58" t="s">
        <v>585</v>
      </c>
      <c r="BV60" s="62">
        <v>12.254527999999999</v>
      </c>
      <c r="BX60" s="54"/>
      <c r="CF60" s="54"/>
      <c r="CJ60" s="54"/>
      <c r="CN60" s="54"/>
      <c r="CR60" s="54"/>
      <c r="CS60" s="21" t="s">
        <v>838</v>
      </c>
      <c r="CT60" s="21"/>
      <c r="CV60" s="54"/>
      <c r="CW60" s="74" t="s">
        <v>846</v>
      </c>
      <c r="CX60" s="75">
        <v>10.379928</v>
      </c>
      <c r="CZ60" s="54"/>
      <c r="DA60" s="74"/>
      <c r="DB60" s="75"/>
      <c r="DD60" s="54"/>
      <c r="DE60" s="74" t="s">
        <v>846</v>
      </c>
      <c r="DF60" s="75">
        <v>10.379928</v>
      </c>
      <c r="DH60" s="54"/>
      <c r="DI60" s="65" t="s">
        <v>208</v>
      </c>
      <c r="DJ60" s="66"/>
      <c r="DL60" s="54"/>
      <c r="DM60" s="58" t="s">
        <v>765</v>
      </c>
      <c r="DN60" s="62">
        <v>0</v>
      </c>
      <c r="DP60" s="54"/>
      <c r="DT60" s="54"/>
      <c r="DX60" s="54"/>
      <c r="EB60" s="54"/>
      <c r="EF60" s="54"/>
      <c r="EJ60" s="54"/>
      <c r="EK60" s="65" t="s">
        <v>422</v>
      </c>
      <c r="EL60" s="65">
        <v>2.5099999999999998</v>
      </c>
      <c r="EN60" s="54"/>
      <c r="ER60" s="54"/>
      <c r="EV60" s="54"/>
      <c r="EZ60" s="54"/>
      <c r="FD60" s="54"/>
      <c r="FH60" s="54"/>
      <c r="FL60" s="54"/>
      <c r="FP60" s="54"/>
      <c r="FT60" s="54"/>
      <c r="FX60" s="54"/>
      <c r="GB60" s="54"/>
      <c r="GF60" s="54"/>
    </row>
    <row r="61" spans="1:188" ht="14.4">
      <c r="A61" s="58" t="s">
        <v>349</v>
      </c>
      <c r="B61" s="62">
        <v>39.634399999999999</v>
      </c>
      <c r="D61" s="54"/>
      <c r="E61" s="58" t="s">
        <v>21</v>
      </c>
      <c r="F61" s="62">
        <v>12.854399999999998</v>
      </c>
      <c r="H61" s="54"/>
      <c r="I61" s="55" t="s">
        <v>742</v>
      </c>
      <c r="J61" s="67">
        <v>0</v>
      </c>
      <c r="L61" s="54"/>
      <c r="M61" s="55" t="s">
        <v>741</v>
      </c>
      <c r="N61" s="67">
        <v>0</v>
      </c>
      <c r="P61" s="54"/>
      <c r="T61" s="54"/>
      <c r="X61" s="54"/>
      <c r="AB61" s="54"/>
      <c r="AF61" s="54"/>
      <c r="AG61" s="58"/>
      <c r="AH61" s="62"/>
      <c r="AJ61" s="54"/>
      <c r="AN61" s="54"/>
      <c r="AR61" s="54"/>
      <c r="AV61" s="54"/>
      <c r="AZ61" s="54"/>
      <c r="BA61" s="58" t="s">
        <v>740</v>
      </c>
      <c r="BB61" s="58">
        <v>0.97</v>
      </c>
      <c r="BD61" s="54"/>
      <c r="BH61" s="54"/>
      <c r="BL61" s="54"/>
      <c r="BP61" s="54"/>
      <c r="BT61" s="54"/>
      <c r="BU61" s="189" t="s">
        <v>775</v>
      </c>
      <c r="BV61" s="189"/>
      <c r="BX61" s="54"/>
      <c r="CF61" s="54"/>
      <c r="CJ61" s="54"/>
      <c r="CN61" s="54"/>
      <c r="CR61" s="54"/>
      <c r="CS61" s="58" t="s">
        <v>830</v>
      </c>
      <c r="CT61" s="58">
        <v>10.5</v>
      </c>
      <c r="CV61" s="54"/>
      <c r="CW61" s="74"/>
      <c r="CX61" s="75"/>
      <c r="CZ61" s="54"/>
      <c r="DD61" s="54"/>
      <c r="DE61" s="74"/>
      <c r="DF61" s="75"/>
      <c r="DH61" s="54"/>
      <c r="DI61" s="73" t="s">
        <v>847</v>
      </c>
      <c r="DJ61" s="73"/>
      <c r="DL61" s="54"/>
      <c r="DM61" s="58" t="s">
        <v>766</v>
      </c>
      <c r="DN61" s="58">
        <v>0</v>
      </c>
      <c r="DP61" s="54"/>
      <c r="DT61" s="54"/>
      <c r="DX61" s="54"/>
      <c r="EB61" s="54"/>
      <c r="EF61" s="54"/>
      <c r="EJ61" s="54"/>
      <c r="EK61" s="65" t="s">
        <v>421</v>
      </c>
      <c r="EL61" s="65"/>
      <c r="EN61" s="54"/>
      <c r="ER61" s="54"/>
      <c r="EV61" s="54"/>
      <c r="EZ61" s="54"/>
      <c r="FD61" s="54"/>
      <c r="FH61" s="54"/>
      <c r="FL61" s="54"/>
      <c r="FP61" s="54"/>
      <c r="FT61" s="54"/>
      <c r="FX61" s="54"/>
      <c r="GB61" s="54"/>
      <c r="GF61" s="54"/>
    </row>
    <row r="62" spans="1:188" ht="14.4">
      <c r="A62" s="55" t="s">
        <v>26</v>
      </c>
      <c r="B62" s="62">
        <v>47.132799999999996</v>
      </c>
      <c r="D62" s="54"/>
      <c r="E62" s="58" t="s">
        <v>375</v>
      </c>
      <c r="F62" s="62">
        <v>12.854399999999998</v>
      </c>
      <c r="H62" s="54"/>
      <c r="I62" s="55" t="s">
        <v>743</v>
      </c>
      <c r="J62" s="67">
        <v>6.4271999999999991</v>
      </c>
      <c r="L62" s="54"/>
      <c r="M62" s="55" t="s">
        <v>742</v>
      </c>
      <c r="N62" s="67">
        <v>0</v>
      </c>
      <c r="P62" s="54"/>
      <c r="T62" s="54"/>
      <c r="X62" s="54"/>
      <c r="AB62" s="54"/>
      <c r="AF62" s="54"/>
      <c r="AJ62" s="54"/>
      <c r="AN62" s="54"/>
      <c r="AR62" s="54"/>
      <c r="AV62" s="54"/>
      <c r="AZ62" s="54"/>
      <c r="BA62" s="58"/>
      <c r="BB62" s="58"/>
      <c r="BD62" s="54"/>
      <c r="BH62" s="54"/>
      <c r="BL62" s="54"/>
      <c r="BP62" s="54"/>
      <c r="BT62" s="54"/>
      <c r="BU62" s="58" t="s">
        <v>831</v>
      </c>
      <c r="BV62" s="58">
        <v>0</v>
      </c>
      <c r="BX62" s="54"/>
      <c r="CF62" s="54"/>
      <c r="CJ62" s="54"/>
      <c r="CN62" s="54"/>
      <c r="CR62" s="54"/>
      <c r="CS62" s="58" t="s">
        <v>740</v>
      </c>
      <c r="CT62" s="58">
        <v>0.97</v>
      </c>
      <c r="CV62" s="54"/>
      <c r="CZ62" s="54"/>
      <c r="DD62" s="54"/>
      <c r="DH62" s="54"/>
      <c r="DI62" s="74" t="s">
        <v>846</v>
      </c>
      <c r="DJ62" s="75">
        <v>10.379928</v>
      </c>
      <c r="DL62" s="54"/>
      <c r="DM62" s="58" t="s">
        <v>769</v>
      </c>
      <c r="DN62" s="58">
        <v>-2</v>
      </c>
      <c r="DP62" s="54"/>
      <c r="DT62" s="54"/>
      <c r="DX62" s="54"/>
      <c r="EB62" s="54"/>
      <c r="EF62" s="54"/>
      <c r="EJ62" s="54"/>
      <c r="EK62" s="65" t="s">
        <v>71</v>
      </c>
      <c r="EL62" s="78">
        <v>0</v>
      </c>
      <c r="EN62" s="54"/>
      <c r="ER62" s="54"/>
      <c r="EV62" s="54"/>
      <c r="EZ62" s="54"/>
      <c r="FD62" s="54"/>
      <c r="FH62" s="54"/>
      <c r="FL62" s="54"/>
      <c r="FP62" s="54"/>
      <c r="FT62" s="54"/>
      <c r="FX62" s="54"/>
      <c r="GB62" s="54"/>
      <c r="GF62" s="54"/>
    </row>
    <row r="63" spans="1:188" ht="14.4">
      <c r="A63" s="58" t="s">
        <v>346</v>
      </c>
      <c r="B63" s="62">
        <v>47.132799999999996</v>
      </c>
      <c r="D63" s="54"/>
      <c r="E63" s="58" t="s">
        <v>372</v>
      </c>
      <c r="F63" s="62">
        <v>12.854399999999998</v>
      </c>
      <c r="H63" s="54"/>
      <c r="I63" s="55" t="s">
        <v>744</v>
      </c>
      <c r="J63" s="67">
        <v>6.4271999999999991</v>
      </c>
      <c r="L63" s="54"/>
      <c r="M63" s="55" t="s">
        <v>743</v>
      </c>
      <c r="N63" s="67">
        <v>6.4271999999999991</v>
      </c>
      <c r="P63" s="54"/>
      <c r="T63" s="54"/>
      <c r="X63" s="54"/>
      <c r="AB63" s="54"/>
      <c r="AF63" s="54"/>
      <c r="AJ63" s="54"/>
      <c r="AN63" s="54"/>
      <c r="AR63" s="54"/>
      <c r="AV63" s="54"/>
      <c r="AZ63" s="54"/>
      <c r="BA63" s="58"/>
      <c r="BB63" s="62"/>
      <c r="BD63" s="54"/>
      <c r="BH63" s="54"/>
      <c r="BL63" s="54"/>
      <c r="BP63" s="54"/>
      <c r="BT63" s="54"/>
      <c r="BU63" s="58" t="s">
        <v>731</v>
      </c>
      <c r="BV63" s="58">
        <v>0</v>
      </c>
      <c r="BX63" s="54"/>
      <c r="CF63" s="54"/>
      <c r="CJ63" s="54"/>
      <c r="CN63" s="54"/>
      <c r="CR63" s="54"/>
      <c r="CS63" s="58" t="s">
        <v>823</v>
      </c>
      <c r="CT63" s="58">
        <v>11.1</v>
      </c>
      <c r="CV63" s="54"/>
      <c r="CZ63" s="54"/>
      <c r="DD63" s="54"/>
      <c r="DH63" s="54"/>
      <c r="DI63" s="74"/>
      <c r="DJ63" s="75"/>
      <c r="DL63" s="54"/>
      <c r="DM63" s="21" t="s">
        <v>778</v>
      </c>
      <c r="DN63" s="21"/>
      <c r="DP63" s="54"/>
      <c r="DT63" s="54"/>
      <c r="DX63" s="54"/>
      <c r="EB63" s="54"/>
      <c r="EF63" s="54"/>
      <c r="EJ63" s="54"/>
      <c r="EK63" s="65" t="s">
        <v>420</v>
      </c>
      <c r="EL63" s="65"/>
      <c r="EN63" s="54"/>
      <c r="ER63" s="54"/>
      <c r="EV63" s="54"/>
      <c r="EZ63" s="54"/>
      <c r="FD63" s="54"/>
      <c r="FH63" s="54"/>
      <c r="FL63" s="54"/>
      <c r="FP63" s="54"/>
      <c r="FT63" s="54"/>
      <c r="FX63" s="54"/>
      <c r="GB63" s="54"/>
      <c r="GF63" s="54"/>
    </row>
    <row r="64" spans="1:188" ht="14.4">
      <c r="A64" s="58" t="s">
        <v>344</v>
      </c>
      <c r="B64" s="62">
        <v>47.132799999999996</v>
      </c>
      <c r="D64" s="54"/>
      <c r="E64" s="58" t="s">
        <v>369</v>
      </c>
      <c r="F64" s="62">
        <v>12.854399999999998</v>
      </c>
      <c r="H64" s="54"/>
      <c r="I64" s="55" t="s">
        <v>745</v>
      </c>
      <c r="J64" s="67">
        <v>6.4271999999999991</v>
      </c>
      <c r="L64" s="54"/>
      <c r="M64" s="55" t="s">
        <v>744</v>
      </c>
      <c r="N64" s="67">
        <v>6.4271999999999991</v>
      </c>
      <c r="P64" s="54"/>
      <c r="T64" s="54"/>
      <c r="X64" s="54"/>
      <c r="AB64" s="54"/>
      <c r="AF64" s="54"/>
      <c r="AJ64" s="54"/>
      <c r="AN64" s="54"/>
      <c r="AR64" s="54"/>
      <c r="AV64" s="54"/>
      <c r="AZ64" s="54"/>
      <c r="BD64" s="54"/>
      <c r="BH64" s="54"/>
      <c r="BL64" s="54"/>
      <c r="BP64" s="54"/>
      <c r="BT64" s="54"/>
      <c r="BU64" s="58" t="s">
        <v>45</v>
      </c>
      <c r="BV64" s="58">
        <v>2.14</v>
      </c>
      <c r="BX64" s="54"/>
      <c r="CF64" s="54"/>
      <c r="CJ64" s="54"/>
      <c r="CN64" s="54"/>
      <c r="CR64" s="54"/>
      <c r="CS64" s="58" t="s">
        <v>732</v>
      </c>
      <c r="CT64" s="58">
        <v>1.94</v>
      </c>
      <c r="CV64" s="54"/>
      <c r="CZ64" s="54"/>
      <c r="DD64" s="54"/>
      <c r="DH64" s="54"/>
      <c r="DL64" s="54"/>
      <c r="DM64" s="72" t="s">
        <v>845</v>
      </c>
      <c r="DN64" s="56">
        <v>1.79</v>
      </c>
      <c r="DP64" s="54"/>
      <c r="DT64" s="54"/>
      <c r="DX64" s="54"/>
      <c r="EB64" s="54"/>
      <c r="EF64" s="54"/>
      <c r="EJ64" s="54"/>
      <c r="EK64" s="65" t="s">
        <v>419</v>
      </c>
      <c r="EL64" s="65">
        <v>2.5</v>
      </c>
      <c r="EN64" s="54"/>
      <c r="ER64" s="54"/>
      <c r="EV64" s="54"/>
      <c r="EZ64" s="54"/>
      <c r="FD64" s="54"/>
      <c r="FH64" s="54"/>
      <c r="FL64" s="54"/>
      <c r="FP64" s="54"/>
      <c r="FT64" s="54"/>
      <c r="FX64" s="54"/>
      <c r="GB64" s="54"/>
      <c r="GF64" s="54"/>
    </row>
    <row r="65" spans="1:188" ht="14.4">
      <c r="A65" s="55" t="s">
        <v>27</v>
      </c>
      <c r="B65" s="62">
        <v>54.6312</v>
      </c>
      <c r="D65" s="54"/>
      <c r="E65" s="58" t="s">
        <v>366</v>
      </c>
      <c r="F65" s="62">
        <v>12.854399999999998</v>
      </c>
      <c r="H65" s="54"/>
      <c r="I65" s="55" t="s">
        <v>746</v>
      </c>
      <c r="J65" s="67">
        <v>6.4271999999999991</v>
      </c>
      <c r="L65" s="54"/>
      <c r="M65" s="55" t="s">
        <v>745</v>
      </c>
      <c r="N65" s="67">
        <v>6.4271999999999991</v>
      </c>
      <c r="P65" s="54"/>
      <c r="T65" s="54"/>
      <c r="X65" s="54"/>
      <c r="AB65" s="54"/>
      <c r="AF65" s="54"/>
      <c r="AJ65" s="54"/>
      <c r="AN65" s="54"/>
      <c r="AR65" s="54"/>
      <c r="AV65" s="54"/>
      <c r="AZ65" s="54"/>
      <c r="BD65" s="54"/>
      <c r="BH65" s="54"/>
      <c r="BL65" s="54"/>
      <c r="BP65" s="54"/>
      <c r="BT65" s="54"/>
      <c r="BU65" s="58" t="s">
        <v>46</v>
      </c>
      <c r="BV65" s="58">
        <v>3.21</v>
      </c>
      <c r="BX65" s="54"/>
      <c r="CF65" s="54"/>
      <c r="CJ65" s="54"/>
      <c r="CN65" s="54"/>
      <c r="CR65" s="54"/>
      <c r="CS65" s="58" t="s">
        <v>585</v>
      </c>
      <c r="CT65" s="62">
        <v>12.254527999999999</v>
      </c>
      <c r="CV65" s="54"/>
      <c r="CZ65" s="54"/>
      <c r="DD65" s="54"/>
      <c r="DH65" s="54"/>
      <c r="DL65" s="54"/>
      <c r="DM65" s="72" t="s">
        <v>844</v>
      </c>
      <c r="DN65" s="56">
        <v>2.98</v>
      </c>
      <c r="DP65" s="54"/>
      <c r="DT65" s="54"/>
      <c r="DX65" s="54"/>
      <c r="EB65" s="54"/>
      <c r="EF65" s="54"/>
      <c r="EJ65" s="54"/>
      <c r="EK65" s="73" t="s">
        <v>847</v>
      </c>
      <c r="EL65" s="73"/>
      <c r="EN65" s="54"/>
      <c r="ER65" s="54"/>
      <c r="EV65" s="54"/>
      <c r="EZ65" s="54"/>
      <c r="FD65" s="54"/>
      <c r="FH65" s="54"/>
      <c r="FL65" s="54"/>
      <c r="FP65" s="54"/>
      <c r="FT65" s="54"/>
      <c r="FX65" s="54"/>
      <c r="GB65" s="54"/>
      <c r="GF65" s="54"/>
    </row>
    <row r="66" spans="1:188" ht="14.4">
      <c r="A66" s="58" t="s">
        <v>342</v>
      </c>
      <c r="B66" s="62">
        <v>54.6312</v>
      </c>
      <c r="D66" s="54"/>
      <c r="E66" s="55" t="s">
        <v>22</v>
      </c>
      <c r="F66" s="62">
        <v>17.139199999999999</v>
      </c>
      <c r="H66" s="54"/>
      <c r="I66" s="189" t="s">
        <v>739</v>
      </c>
      <c r="J66" s="189"/>
      <c r="L66" s="54"/>
      <c r="M66" s="55" t="s">
        <v>746</v>
      </c>
      <c r="N66" s="67">
        <v>6.4271999999999991</v>
      </c>
      <c r="P66" s="54"/>
      <c r="T66" s="54"/>
      <c r="X66" s="54"/>
      <c r="AF66" s="54"/>
      <c r="AJ66" s="54"/>
      <c r="AN66" s="54"/>
      <c r="AR66" s="54"/>
      <c r="AV66" s="54"/>
      <c r="AZ66" s="54"/>
      <c r="BD66" s="54"/>
      <c r="BH66" s="54"/>
      <c r="BL66" s="54"/>
      <c r="BP66" s="54"/>
      <c r="BT66" s="54"/>
      <c r="BU66" s="58" t="s">
        <v>832</v>
      </c>
      <c r="BV66" s="58">
        <v>-2.27</v>
      </c>
      <c r="BX66" s="54"/>
      <c r="CF66" s="54"/>
      <c r="CJ66" s="54"/>
      <c r="CN66" s="54"/>
      <c r="CR66" s="54"/>
      <c r="CS66" s="73" t="s">
        <v>847</v>
      </c>
      <c r="CT66" s="73"/>
      <c r="CV66" s="54"/>
      <c r="CZ66" s="54"/>
      <c r="DD66" s="54"/>
      <c r="DH66" s="54"/>
      <c r="DL66" s="54"/>
      <c r="DM66" s="21" t="s">
        <v>838</v>
      </c>
      <c r="DN66" s="21"/>
      <c r="DP66" s="54"/>
      <c r="DT66" s="54"/>
      <c r="DX66" s="54"/>
      <c r="EB66" s="54"/>
      <c r="EF66" s="54"/>
      <c r="EJ66" s="54"/>
      <c r="EK66" s="74" t="s">
        <v>846</v>
      </c>
      <c r="EL66" s="75">
        <v>10.379928</v>
      </c>
      <c r="EN66" s="54"/>
      <c r="ER66" s="54"/>
      <c r="EV66" s="54"/>
      <c r="EZ66" s="54"/>
      <c r="FD66" s="54"/>
      <c r="FH66" s="54"/>
      <c r="FL66" s="54"/>
      <c r="FP66" s="54"/>
      <c r="FT66" s="54"/>
      <c r="FX66" s="54"/>
      <c r="GB66" s="54"/>
      <c r="GF66" s="54"/>
    </row>
    <row r="67" spans="1:188" ht="14.4">
      <c r="A67" s="55" t="s">
        <v>121</v>
      </c>
      <c r="B67" s="62">
        <v>62.129599999999996</v>
      </c>
      <c r="D67" s="54"/>
      <c r="E67" s="58" t="s">
        <v>365</v>
      </c>
      <c r="F67" s="62">
        <v>17.139199999999999</v>
      </c>
      <c r="H67" s="54"/>
      <c r="I67" s="69" t="s">
        <v>730</v>
      </c>
      <c r="J67" s="79">
        <v>2.2709440000000001</v>
      </c>
      <c r="L67" s="54"/>
      <c r="M67" s="189" t="s">
        <v>739</v>
      </c>
      <c r="N67" s="189"/>
      <c r="P67" s="54"/>
      <c r="T67" s="54"/>
      <c r="X67" s="54"/>
      <c r="AF67" s="54"/>
      <c r="AJ67" s="54"/>
      <c r="AN67" s="54"/>
      <c r="AR67" s="54"/>
      <c r="AV67" s="54"/>
      <c r="AZ67" s="54"/>
      <c r="BD67" s="54"/>
      <c r="BH67" s="54"/>
      <c r="BL67" s="54"/>
      <c r="BP67" s="54"/>
      <c r="BT67" s="54"/>
      <c r="BU67" s="73" t="s">
        <v>847</v>
      </c>
      <c r="BV67" s="73"/>
      <c r="BX67" s="54"/>
      <c r="CF67" s="54"/>
      <c r="CJ67" s="54"/>
      <c r="CN67" s="54"/>
      <c r="CR67" s="54"/>
      <c r="CS67" s="74" t="s">
        <v>846</v>
      </c>
      <c r="CT67" s="75">
        <v>10.379928</v>
      </c>
      <c r="CV67" s="54"/>
      <c r="CZ67" s="54"/>
      <c r="DD67" s="54"/>
      <c r="DH67" s="54"/>
      <c r="DL67" s="54"/>
      <c r="DM67" s="58" t="s">
        <v>830</v>
      </c>
      <c r="DN67" s="58">
        <v>10.5</v>
      </c>
      <c r="DP67" s="54"/>
      <c r="DT67" s="54"/>
      <c r="DX67" s="54"/>
      <c r="EB67" s="54"/>
      <c r="EF67" s="54"/>
      <c r="EJ67" s="54"/>
      <c r="EK67" s="74"/>
      <c r="EL67" s="75"/>
      <c r="EN67" s="54"/>
      <c r="ER67" s="54"/>
      <c r="EV67" s="54"/>
      <c r="EZ67" s="54"/>
      <c r="FD67" s="54"/>
      <c r="FH67" s="54"/>
      <c r="FL67" s="54"/>
      <c r="FP67" s="54"/>
      <c r="FT67" s="54"/>
      <c r="FX67" s="54"/>
      <c r="GB67" s="54"/>
      <c r="GF67" s="54"/>
    </row>
    <row r="68" spans="1:188" ht="14.4">
      <c r="A68" s="58" t="s">
        <v>337</v>
      </c>
      <c r="B68" s="62">
        <v>62.129599999999996</v>
      </c>
      <c r="D68" s="54"/>
      <c r="E68" s="58" t="s">
        <v>364</v>
      </c>
      <c r="F68" s="62">
        <v>17.139199999999999</v>
      </c>
      <c r="H68" s="54"/>
      <c r="I68" s="71" t="s">
        <v>13</v>
      </c>
      <c r="J68" s="79">
        <v>0</v>
      </c>
      <c r="L68" s="54"/>
      <c r="M68" s="69" t="s">
        <v>730</v>
      </c>
      <c r="N68" s="79">
        <v>2.2709440000000001</v>
      </c>
      <c r="P68" s="54"/>
      <c r="T68" s="54"/>
      <c r="X68" s="54"/>
      <c r="AF68" s="54"/>
      <c r="AJ68" s="54"/>
      <c r="AN68" s="54"/>
      <c r="AR68" s="54"/>
      <c r="AV68" s="54"/>
      <c r="AZ68" s="54"/>
      <c r="BD68" s="54"/>
      <c r="BH68" s="54"/>
      <c r="BL68" s="54"/>
      <c r="BP68" s="54"/>
      <c r="BT68" s="54"/>
      <c r="BU68" s="74" t="s">
        <v>846</v>
      </c>
      <c r="BV68" s="75">
        <v>10.379928</v>
      </c>
      <c r="BX68" s="54"/>
      <c r="CF68" s="54"/>
      <c r="CJ68" s="54"/>
      <c r="CN68" s="54"/>
      <c r="CR68" s="54"/>
      <c r="CS68" s="74"/>
      <c r="CT68" s="75"/>
      <c r="CV68" s="54"/>
      <c r="CZ68" s="54"/>
      <c r="DD68" s="54"/>
      <c r="DH68" s="54"/>
      <c r="DL68" s="54"/>
      <c r="DM68" s="58" t="s">
        <v>740</v>
      </c>
      <c r="DN68" s="58">
        <v>0.97</v>
      </c>
      <c r="DP68" s="54"/>
      <c r="DT68" s="54"/>
      <c r="DX68" s="54"/>
      <c r="EB68" s="54"/>
      <c r="EF68" s="54"/>
      <c r="EJ68" s="54"/>
      <c r="EN68" s="54"/>
      <c r="ER68" s="54"/>
      <c r="EV68" s="54"/>
      <c r="EZ68" s="54"/>
      <c r="FD68" s="54"/>
      <c r="FH68" s="54"/>
      <c r="FL68" s="54"/>
      <c r="FP68" s="54"/>
      <c r="FT68" s="54"/>
      <c r="FX68" s="54"/>
      <c r="GB68" s="54"/>
      <c r="GF68" s="54"/>
    </row>
    <row r="69" spans="1:188" ht="13.8">
      <c r="A69" s="58" t="s">
        <v>336</v>
      </c>
      <c r="B69" s="62">
        <v>62.129599999999996</v>
      </c>
      <c r="D69" s="54"/>
      <c r="E69" s="58" t="s">
        <v>363</v>
      </c>
      <c r="F69" s="62">
        <v>17.139199999999999</v>
      </c>
      <c r="H69" s="54"/>
      <c r="I69" s="71" t="s">
        <v>786</v>
      </c>
      <c r="J69" s="79">
        <v>-0.94265599999999994</v>
      </c>
      <c r="L69" s="54"/>
      <c r="M69" s="71" t="s">
        <v>13</v>
      </c>
      <c r="N69" s="79">
        <v>0</v>
      </c>
      <c r="P69" s="54"/>
      <c r="T69" s="54"/>
      <c r="X69" s="54"/>
      <c r="AF69" s="54"/>
      <c r="AJ69" s="54"/>
      <c r="AN69" s="54"/>
      <c r="AR69" s="54"/>
      <c r="AV69" s="54"/>
      <c r="AZ69" s="54"/>
      <c r="BD69" s="54"/>
      <c r="BH69" s="54"/>
      <c r="BL69" s="54"/>
      <c r="BP69" s="54"/>
      <c r="BT69" s="54"/>
      <c r="BX69" s="54"/>
      <c r="CF69" s="54"/>
      <c r="CJ69" s="54"/>
      <c r="CN69" s="54"/>
      <c r="CR69" s="54"/>
      <c r="CV69" s="54"/>
      <c r="CZ69" s="54"/>
      <c r="DD69" s="54"/>
      <c r="DH69" s="54"/>
      <c r="DL69" s="54"/>
      <c r="DM69" s="58" t="s">
        <v>585</v>
      </c>
      <c r="DN69" s="62">
        <v>12.254527999999999</v>
      </c>
      <c r="DP69" s="54"/>
      <c r="DT69" s="54"/>
      <c r="DX69" s="54"/>
      <c r="EB69" s="54"/>
      <c r="EF69" s="54"/>
      <c r="EJ69" s="54"/>
      <c r="EN69" s="54"/>
      <c r="ER69" s="54"/>
      <c r="EV69" s="54"/>
      <c r="EZ69" s="54"/>
      <c r="FD69" s="54"/>
      <c r="FH69" s="54"/>
      <c r="FL69" s="54"/>
      <c r="FP69" s="54"/>
      <c r="FT69" s="54"/>
      <c r="FX69" s="54"/>
      <c r="GB69" s="54"/>
      <c r="GF69" s="54"/>
    </row>
    <row r="70" spans="1:188" ht="14.4">
      <c r="A70" s="55" t="s">
        <v>122</v>
      </c>
      <c r="B70" s="62">
        <v>69.628</v>
      </c>
      <c r="D70" s="54"/>
      <c r="E70" s="55" t="s">
        <v>23</v>
      </c>
      <c r="F70" s="62">
        <v>24.637599999999999</v>
      </c>
      <c r="H70" s="54"/>
      <c r="I70" s="121" t="s">
        <v>1363</v>
      </c>
      <c r="J70" s="79"/>
      <c r="L70" s="54"/>
      <c r="M70" s="71" t="s">
        <v>786</v>
      </c>
      <c r="N70" s="79">
        <v>-0.94265599999999994</v>
      </c>
      <c r="P70" s="54"/>
      <c r="T70" s="54"/>
      <c r="X70" s="54"/>
      <c r="AJ70" s="54"/>
      <c r="AN70" s="54"/>
      <c r="AR70" s="54"/>
      <c r="AV70" s="54"/>
      <c r="AZ70" s="54"/>
      <c r="BD70" s="54"/>
      <c r="BH70" s="54"/>
      <c r="BL70" s="54"/>
      <c r="BP70" s="54"/>
      <c r="BT70" s="54"/>
      <c r="BX70" s="54"/>
      <c r="CF70" s="54"/>
      <c r="CJ70" s="54"/>
      <c r="CN70" s="54"/>
      <c r="CR70" s="54"/>
      <c r="CV70" s="54"/>
      <c r="CZ70" s="54"/>
      <c r="DD70" s="54"/>
      <c r="DH70" s="54"/>
      <c r="DL70" s="54"/>
      <c r="DM70" s="73" t="s">
        <v>847</v>
      </c>
      <c r="DN70" s="73"/>
      <c r="DP70" s="54"/>
      <c r="DT70" s="54"/>
      <c r="DX70" s="54"/>
      <c r="EB70" s="54"/>
      <c r="EF70" s="54"/>
      <c r="EJ70" s="54"/>
      <c r="EN70" s="54"/>
      <c r="ER70" s="54"/>
      <c r="EV70" s="54"/>
      <c r="EZ70" s="54"/>
      <c r="FD70" s="54"/>
      <c r="FH70" s="54"/>
      <c r="FL70" s="54"/>
      <c r="FP70" s="54"/>
      <c r="FT70" s="54"/>
      <c r="FX70" s="54"/>
      <c r="GB70" s="54"/>
      <c r="GF70" s="54"/>
    </row>
    <row r="71" spans="1:188" ht="14.4">
      <c r="A71" s="58" t="s">
        <v>335</v>
      </c>
      <c r="B71" s="62">
        <v>69.628</v>
      </c>
      <c r="D71" s="54"/>
      <c r="E71" s="58" t="s">
        <v>362</v>
      </c>
      <c r="F71" s="62">
        <v>24.637599999999999</v>
      </c>
      <c r="H71" s="54"/>
      <c r="I71" s="71" t="s">
        <v>28</v>
      </c>
      <c r="J71" s="79">
        <v>-2.5066079999999995</v>
      </c>
      <c r="L71" s="54"/>
      <c r="M71" s="71" t="s">
        <v>1363</v>
      </c>
      <c r="N71" s="79"/>
      <c r="P71" s="54"/>
      <c r="T71" s="54"/>
      <c r="X71" s="54"/>
      <c r="AJ71" s="54"/>
      <c r="AN71" s="54"/>
      <c r="AR71" s="54"/>
      <c r="AV71" s="54"/>
      <c r="AZ71" s="54"/>
      <c r="BD71" s="54"/>
      <c r="BH71" s="54"/>
      <c r="BL71" s="54"/>
      <c r="BP71" s="54"/>
      <c r="BU71" s="189"/>
      <c r="BV71" s="189"/>
      <c r="BX71" s="54"/>
      <c r="CF71" s="54"/>
      <c r="CJ71" s="54"/>
      <c r="CN71" s="54"/>
      <c r="CR71" s="54"/>
      <c r="CV71" s="54"/>
      <c r="CZ71" s="54"/>
      <c r="DD71" s="54"/>
      <c r="DH71" s="54"/>
      <c r="DL71" s="54"/>
      <c r="DM71" s="74" t="s">
        <v>846</v>
      </c>
      <c r="DN71" s="75">
        <v>10.379928</v>
      </c>
      <c r="DP71" s="54"/>
      <c r="DT71" s="54"/>
      <c r="DX71" s="54"/>
      <c r="EB71" s="54"/>
      <c r="EF71" s="54"/>
      <c r="EJ71" s="54"/>
      <c r="EN71" s="54"/>
      <c r="ER71" s="54"/>
      <c r="EV71" s="54"/>
      <c r="EZ71" s="54"/>
      <c r="FD71" s="54"/>
      <c r="FH71" s="54"/>
      <c r="FL71" s="54"/>
      <c r="FP71" s="54"/>
      <c r="FT71" s="54"/>
      <c r="FX71" s="54"/>
      <c r="GB71" s="54"/>
      <c r="GF71" s="54"/>
    </row>
    <row r="72" spans="1:188" ht="14.4">
      <c r="A72" s="189" t="s">
        <v>736</v>
      </c>
      <c r="B72" s="189"/>
      <c r="D72" s="54"/>
      <c r="E72" s="58" t="s">
        <v>361</v>
      </c>
      <c r="F72" s="62">
        <v>24.637599999999999</v>
      </c>
      <c r="H72" s="54"/>
      <c r="I72" s="189" t="s">
        <v>778</v>
      </c>
      <c r="J72" s="189"/>
      <c r="L72" s="54"/>
      <c r="M72" s="71" t="s">
        <v>28</v>
      </c>
      <c r="N72" s="79">
        <v>-2.5066079999999995</v>
      </c>
      <c r="P72" s="54"/>
      <c r="T72" s="54"/>
      <c r="X72" s="54"/>
      <c r="Y72" s="81"/>
      <c r="Z72" s="81"/>
      <c r="AJ72" s="54"/>
      <c r="AN72" s="54"/>
      <c r="AR72" s="54"/>
      <c r="AV72" s="54"/>
      <c r="AZ72" s="54"/>
      <c r="BD72" s="54"/>
      <c r="BH72" s="54"/>
      <c r="BL72" s="54"/>
      <c r="BP72" s="54"/>
      <c r="BU72" s="77"/>
      <c r="BV72" s="62"/>
      <c r="BX72" s="54"/>
      <c r="CF72" s="54"/>
      <c r="CJ72" s="54"/>
      <c r="CN72" s="54"/>
      <c r="CR72" s="54"/>
      <c r="CV72" s="54"/>
      <c r="CZ72" s="54"/>
      <c r="DD72" s="54"/>
      <c r="DH72" s="54"/>
      <c r="DL72" s="54"/>
      <c r="DM72" s="74"/>
      <c r="DN72" s="75"/>
      <c r="DP72" s="54"/>
      <c r="DT72" s="54"/>
      <c r="DX72" s="54"/>
      <c r="EB72" s="54"/>
      <c r="EF72" s="54"/>
      <c r="EJ72" s="54"/>
      <c r="EN72" s="54"/>
      <c r="ER72" s="54"/>
      <c r="EV72" s="54"/>
      <c r="EZ72" s="54"/>
      <c r="FD72" s="54"/>
      <c r="FH72" s="54"/>
      <c r="FL72" s="54"/>
      <c r="FP72" s="54"/>
      <c r="FT72" s="54"/>
      <c r="FX72" s="54"/>
      <c r="GB72" s="54"/>
      <c r="GF72" s="54"/>
    </row>
    <row r="73" spans="1:188" ht="14.4">
      <c r="A73" s="55" t="s">
        <v>741</v>
      </c>
      <c r="B73" s="67">
        <v>0</v>
      </c>
      <c r="D73" s="54"/>
      <c r="E73" s="58" t="s">
        <v>360</v>
      </c>
      <c r="F73" s="62">
        <v>24.637599999999999</v>
      </c>
      <c r="H73" s="54"/>
      <c r="I73" s="72" t="s">
        <v>845</v>
      </c>
      <c r="J73" s="56">
        <v>1.79</v>
      </c>
      <c r="L73" s="54"/>
      <c r="M73" s="189" t="s">
        <v>778</v>
      </c>
      <c r="N73" s="189"/>
      <c r="P73" s="54"/>
      <c r="T73" s="54"/>
      <c r="X73" s="54"/>
      <c r="Y73" s="81"/>
      <c r="Z73" s="81"/>
      <c r="AJ73" s="54"/>
      <c r="AN73" s="54"/>
      <c r="AR73" s="54"/>
      <c r="AV73" s="54"/>
      <c r="AZ73" s="54"/>
      <c r="BD73" s="54"/>
      <c r="BH73" s="54"/>
      <c r="BL73" s="54"/>
      <c r="BP73" s="54"/>
      <c r="BX73" s="54"/>
      <c r="CF73" s="54"/>
      <c r="CJ73" s="54"/>
      <c r="CN73" s="54"/>
      <c r="CR73" s="54"/>
      <c r="CV73" s="54"/>
      <c r="CZ73" s="54"/>
      <c r="DD73" s="54"/>
      <c r="DH73" s="54"/>
      <c r="DL73" s="54"/>
      <c r="DP73" s="54"/>
      <c r="DT73" s="54"/>
      <c r="DX73" s="54"/>
      <c r="EB73" s="54"/>
      <c r="EF73" s="54"/>
      <c r="EJ73" s="54"/>
      <c r="EN73" s="54"/>
      <c r="ER73" s="54"/>
      <c r="EV73" s="54"/>
      <c r="EZ73" s="54"/>
      <c r="FD73" s="54"/>
      <c r="FH73" s="54"/>
      <c r="FL73" s="54"/>
      <c r="FP73" s="54"/>
      <c r="FT73" s="54"/>
      <c r="FX73" s="54"/>
      <c r="GB73" s="54"/>
      <c r="GF73" s="54"/>
    </row>
    <row r="74" spans="1:188" ht="14.4">
      <c r="A74" s="55" t="s">
        <v>742</v>
      </c>
      <c r="B74" s="67">
        <v>0</v>
      </c>
      <c r="D74" s="54"/>
      <c r="E74" s="55" t="s">
        <v>24</v>
      </c>
      <c r="F74" s="62">
        <v>32.135999999999996</v>
      </c>
      <c r="H74" s="54"/>
      <c r="I74" s="72" t="s">
        <v>844</v>
      </c>
      <c r="J74" s="56">
        <v>2.98</v>
      </c>
      <c r="L74" s="54"/>
      <c r="M74" s="72" t="s">
        <v>845</v>
      </c>
      <c r="N74" s="56">
        <v>1.79</v>
      </c>
      <c r="P74" s="54"/>
      <c r="T74" s="54"/>
      <c r="X74" s="54"/>
      <c r="AB74" s="81"/>
      <c r="AJ74" s="54"/>
      <c r="AN74" s="54"/>
      <c r="AR74" s="54"/>
      <c r="AV74" s="54"/>
      <c r="AZ74" s="54"/>
      <c r="BD74" s="54"/>
      <c r="BH74" s="54"/>
      <c r="BL74" s="54"/>
      <c r="BP74" s="54"/>
      <c r="BX74" s="54"/>
      <c r="CF74" s="54"/>
      <c r="CJ74" s="54"/>
      <c r="CN74" s="54"/>
      <c r="CR74" s="54"/>
      <c r="CV74" s="54"/>
      <c r="CZ74" s="54"/>
      <c r="DD74" s="54"/>
      <c r="DH74" s="54"/>
      <c r="DL74" s="54"/>
      <c r="DP74" s="54"/>
      <c r="DT74" s="54"/>
      <c r="DX74" s="54"/>
      <c r="EB74" s="54"/>
      <c r="EF74" s="54"/>
      <c r="EJ74" s="54"/>
      <c r="EN74" s="54"/>
      <c r="ER74" s="54"/>
      <c r="EV74" s="54"/>
      <c r="EZ74" s="54"/>
      <c r="FD74" s="54"/>
      <c r="FH74" s="54"/>
      <c r="FL74" s="54"/>
      <c r="FP74" s="54"/>
      <c r="FT74" s="54"/>
      <c r="FX74" s="54"/>
      <c r="GB74" s="54"/>
      <c r="GF74" s="54"/>
    </row>
    <row r="75" spans="1:188" ht="14.4">
      <c r="A75" s="55" t="s">
        <v>743</v>
      </c>
      <c r="B75" s="67">
        <v>6.4271999999999991</v>
      </c>
      <c r="D75" s="54"/>
      <c r="E75" s="58" t="s">
        <v>359</v>
      </c>
      <c r="F75" s="62">
        <v>32.135999999999996</v>
      </c>
      <c r="H75" s="54"/>
      <c r="I75" s="189" t="s">
        <v>834</v>
      </c>
      <c r="J75" s="189"/>
      <c r="L75" s="54"/>
      <c r="M75" s="72" t="s">
        <v>844</v>
      </c>
      <c r="N75" s="56">
        <v>2.98</v>
      </c>
      <c r="P75" s="54"/>
      <c r="T75" s="54"/>
      <c r="X75" s="54"/>
      <c r="AB75" s="81"/>
      <c r="AJ75" s="54"/>
      <c r="AN75" s="54"/>
      <c r="AR75" s="54"/>
      <c r="AV75" s="54"/>
      <c r="AZ75" s="54"/>
      <c r="BD75" s="54"/>
      <c r="BH75" s="54"/>
      <c r="BL75" s="54"/>
      <c r="BP75" s="54"/>
      <c r="BX75" s="54"/>
      <c r="CF75" s="54"/>
      <c r="CJ75" s="54"/>
      <c r="CN75" s="54"/>
      <c r="CR75" s="54"/>
      <c r="CV75" s="54"/>
      <c r="CZ75" s="54"/>
      <c r="DD75" s="54"/>
      <c r="DH75" s="54"/>
      <c r="DL75" s="54"/>
      <c r="DP75" s="54"/>
      <c r="DT75" s="54"/>
      <c r="DX75" s="54"/>
      <c r="EB75" s="54"/>
      <c r="EF75" s="54"/>
      <c r="EJ75" s="54"/>
      <c r="EN75" s="54"/>
      <c r="ER75" s="54"/>
      <c r="EV75" s="54"/>
      <c r="EZ75" s="54"/>
      <c r="FD75" s="54"/>
      <c r="FH75" s="54"/>
      <c r="FL75" s="54"/>
      <c r="FP75" s="54"/>
      <c r="FT75" s="54"/>
      <c r="FX75" s="54"/>
      <c r="GB75" s="54"/>
      <c r="GF75" s="54"/>
    </row>
    <row r="76" spans="1:188" ht="14.4">
      <c r="A76" s="55" t="s">
        <v>744</v>
      </c>
      <c r="B76" s="67">
        <v>6.4271999999999991</v>
      </c>
      <c r="D76" s="54"/>
      <c r="E76" s="58" t="s">
        <v>357</v>
      </c>
      <c r="F76" s="62">
        <v>32.135999999999996</v>
      </c>
      <c r="H76" s="54"/>
      <c r="I76" s="56" t="s">
        <v>776</v>
      </c>
      <c r="J76" s="80">
        <v>8</v>
      </c>
      <c r="L76" s="54"/>
      <c r="M76" s="189" t="s">
        <v>855</v>
      </c>
      <c r="N76" s="189"/>
      <c r="P76" s="54"/>
      <c r="T76" s="54"/>
      <c r="X76" s="54"/>
      <c r="AC76" s="81"/>
      <c r="AD76" s="81"/>
      <c r="AJ76" s="54"/>
      <c r="AN76" s="54"/>
      <c r="AR76" s="54"/>
      <c r="AV76" s="54"/>
      <c r="AZ76" s="54"/>
      <c r="BD76" s="54"/>
      <c r="BH76" s="54"/>
      <c r="BL76" s="54"/>
      <c r="BP76" s="54"/>
      <c r="BX76" s="54"/>
      <c r="CF76" s="54"/>
      <c r="CJ76" s="54"/>
      <c r="CN76" s="54"/>
      <c r="CR76" s="54"/>
      <c r="CV76" s="54"/>
      <c r="CZ76" s="54"/>
      <c r="DD76" s="54"/>
      <c r="DH76" s="54"/>
      <c r="DL76" s="54"/>
      <c r="DP76" s="54"/>
      <c r="DT76" s="54"/>
      <c r="DX76" s="54"/>
      <c r="EB76" s="54"/>
      <c r="EF76" s="54"/>
      <c r="EJ76" s="54"/>
      <c r="EN76" s="54"/>
      <c r="ER76" s="54"/>
      <c r="EV76" s="54"/>
      <c r="EZ76" s="54"/>
      <c r="FD76" s="54"/>
      <c r="FH76" s="54"/>
      <c r="FL76" s="54"/>
      <c r="FP76" s="54"/>
      <c r="FT76" s="54"/>
      <c r="FX76" s="54"/>
      <c r="GB76" s="54"/>
      <c r="GF76" s="54"/>
    </row>
    <row r="77" spans="1:188" ht="14.4">
      <c r="A77" s="55" t="s">
        <v>745</v>
      </c>
      <c r="B77" s="67">
        <v>6.4271999999999991</v>
      </c>
      <c r="D77" s="54"/>
      <c r="E77" s="58" t="s">
        <v>355</v>
      </c>
      <c r="F77" s="62">
        <v>32.135999999999996</v>
      </c>
      <c r="H77" s="54"/>
      <c r="I77" s="189" t="s">
        <v>855</v>
      </c>
      <c r="J77" s="189"/>
      <c r="L77" s="54"/>
      <c r="M77" s="56" t="s">
        <v>861</v>
      </c>
      <c r="N77" s="56">
        <v>12.5</v>
      </c>
      <c r="P77" s="54"/>
      <c r="T77" s="54"/>
      <c r="X77" s="54"/>
      <c r="AC77" s="81"/>
      <c r="AD77" s="81"/>
      <c r="AJ77" s="54"/>
      <c r="AN77" s="54"/>
      <c r="AR77" s="54"/>
      <c r="AV77" s="54"/>
      <c r="AZ77" s="54"/>
      <c r="BD77" s="54"/>
      <c r="BH77" s="54"/>
      <c r="BL77" s="54"/>
      <c r="BP77" s="54"/>
      <c r="BX77" s="54"/>
      <c r="CF77" s="54"/>
      <c r="CJ77" s="54"/>
      <c r="CN77" s="54"/>
      <c r="CR77" s="54"/>
      <c r="CV77" s="54"/>
      <c r="CZ77" s="54"/>
      <c r="DD77" s="54"/>
      <c r="DH77" s="54"/>
      <c r="DL77" s="54"/>
      <c r="DP77" s="54"/>
      <c r="DT77" s="54"/>
      <c r="DX77" s="54"/>
      <c r="EB77" s="54"/>
      <c r="EF77" s="54"/>
      <c r="EJ77" s="54"/>
      <c r="EN77" s="54"/>
      <c r="ER77" s="54"/>
      <c r="EV77" s="54"/>
      <c r="EZ77" s="54"/>
      <c r="FD77" s="54"/>
      <c r="FH77" s="54"/>
      <c r="FL77" s="54"/>
      <c r="FP77" s="54"/>
      <c r="FT77" s="54"/>
      <c r="FX77" s="54"/>
      <c r="GB77" s="54"/>
      <c r="GF77" s="54"/>
    </row>
    <row r="78" spans="1:188" ht="14.4">
      <c r="A78" s="55" t="s">
        <v>746</v>
      </c>
      <c r="B78" s="67">
        <v>6.4271999999999991</v>
      </c>
      <c r="D78" s="54"/>
      <c r="E78" s="55" t="s">
        <v>25</v>
      </c>
      <c r="F78" s="62">
        <v>39.634399999999999</v>
      </c>
      <c r="H78" s="54"/>
      <c r="I78" s="56" t="s">
        <v>861</v>
      </c>
      <c r="J78" s="56">
        <v>12.5</v>
      </c>
      <c r="L78" s="54"/>
      <c r="M78" s="189" t="s">
        <v>856</v>
      </c>
      <c r="N78" s="189"/>
      <c r="P78" s="54"/>
      <c r="T78" s="54"/>
      <c r="X78" s="54"/>
      <c r="AF78" s="81"/>
      <c r="AJ78" s="54"/>
      <c r="AN78" s="54"/>
      <c r="AR78" s="54"/>
      <c r="AV78" s="54"/>
      <c r="AZ78" s="54"/>
      <c r="BD78" s="54"/>
      <c r="BH78" s="54"/>
      <c r="BL78" s="54"/>
      <c r="BP78" s="54"/>
      <c r="BX78" s="54"/>
      <c r="CF78" s="54"/>
      <c r="CJ78" s="54"/>
      <c r="CN78" s="54"/>
      <c r="CR78" s="54"/>
      <c r="CV78" s="54"/>
      <c r="CZ78" s="54"/>
      <c r="DD78" s="54"/>
      <c r="DH78" s="54"/>
      <c r="DL78" s="54"/>
      <c r="DP78" s="54"/>
      <c r="DT78" s="54"/>
      <c r="DX78" s="54"/>
      <c r="EF78" s="54"/>
      <c r="EJ78" s="54"/>
      <c r="EN78" s="54"/>
      <c r="ER78" s="54"/>
      <c r="EV78" s="54"/>
      <c r="EZ78" s="54"/>
      <c r="FD78" s="54"/>
      <c r="FH78" s="54"/>
      <c r="FL78" s="54"/>
      <c r="FP78" s="54"/>
      <c r="FT78" s="54"/>
      <c r="FX78" s="54"/>
      <c r="GB78" s="54"/>
      <c r="GF78" s="54"/>
    </row>
    <row r="79" spans="1:188" ht="14.4">
      <c r="A79" s="189" t="s">
        <v>739</v>
      </c>
      <c r="B79" s="189"/>
      <c r="D79" s="54"/>
      <c r="E79" s="58" t="s">
        <v>352</v>
      </c>
      <c r="F79" s="62">
        <v>39.634399999999999</v>
      </c>
      <c r="H79" s="54"/>
      <c r="I79" s="189" t="s">
        <v>856</v>
      </c>
      <c r="J79" s="189"/>
      <c r="L79" s="54"/>
      <c r="M79" s="56" t="s">
        <v>856</v>
      </c>
      <c r="N79" s="56">
        <v>2.74</v>
      </c>
      <c r="P79" s="54"/>
      <c r="T79" s="54"/>
      <c r="X79" s="54"/>
      <c r="AF79" s="81"/>
      <c r="AJ79" s="54"/>
      <c r="AN79" s="54"/>
      <c r="AR79" s="54"/>
      <c r="AV79" s="54"/>
      <c r="AZ79" s="54"/>
      <c r="BD79" s="54"/>
      <c r="BH79" s="54"/>
      <c r="BL79" s="54"/>
      <c r="BP79" s="54"/>
      <c r="BX79" s="54"/>
      <c r="CF79" s="54"/>
      <c r="CJ79" s="54"/>
      <c r="CN79" s="54"/>
      <c r="CR79" s="54"/>
      <c r="CV79" s="54"/>
      <c r="CZ79" s="54"/>
      <c r="DD79" s="54"/>
      <c r="DH79" s="54"/>
      <c r="DL79" s="54"/>
      <c r="DP79" s="54"/>
      <c r="DT79" s="54"/>
      <c r="DX79" s="54"/>
      <c r="EF79" s="54"/>
      <c r="EJ79" s="54"/>
      <c r="EN79" s="54"/>
      <c r="ER79" s="54"/>
      <c r="EV79" s="54"/>
      <c r="EZ79" s="54"/>
      <c r="FD79" s="54"/>
      <c r="FH79" s="54"/>
      <c r="FL79" s="54"/>
      <c r="FP79" s="54"/>
      <c r="FT79" s="54"/>
      <c r="FX79" s="54"/>
      <c r="GB79" s="54"/>
      <c r="GF79" s="54"/>
    </row>
    <row r="80" spans="1:188" ht="14.4">
      <c r="A80" s="71" t="s">
        <v>730</v>
      </c>
      <c r="B80" s="79">
        <v>2.2709440000000001</v>
      </c>
      <c r="D80" s="54"/>
      <c r="E80" s="58" t="s">
        <v>349</v>
      </c>
      <c r="F80" s="62">
        <v>39.634399999999999</v>
      </c>
      <c r="H80" s="54"/>
      <c r="I80" s="56" t="s">
        <v>856</v>
      </c>
      <c r="J80" s="56">
        <v>2.74</v>
      </c>
      <c r="L80" s="54"/>
      <c r="M80" s="189" t="s">
        <v>581</v>
      </c>
      <c r="N80" s="189"/>
      <c r="P80" s="54"/>
      <c r="T80" s="54"/>
      <c r="X80" s="54"/>
      <c r="AJ80" s="54"/>
      <c r="AN80" s="54"/>
      <c r="AR80" s="54"/>
      <c r="AV80" s="54"/>
      <c r="AZ80" s="54"/>
      <c r="BD80" s="54"/>
      <c r="BH80" s="54"/>
      <c r="BL80" s="54"/>
      <c r="BP80" s="54"/>
      <c r="BX80" s="54"/>
      <c r="CF80" s="54"/>
      <c r="CJ80" s="54"/>
      <c r="CN80" s="54"/>
      <c r="CR80" s="54"/>
      <c r="CV80" s="54"/>
      <c r="CZ80" s="54"/>
      <c r="DD80" s="54"/>
      <c r="DH80" s="54"/>
      <c r="DL80" s="54"/>
      <c r="DP80" s="54"/>
      <c r="DT80" s="54"/>
      <c r="EF80" s="54"/>
      <c r="EJ80" s="54"/>
      <c r="EN80" s="54"/>
      <c r="ER80" s="54"/>
      <c r="EV80" s="54"/>
      <c r="EZ80" s="54"/>
      <c r="FD80" s="54"/>
      <c r="FH80" s="54"/>
      <c r="FL80" s="54"/>
      <c r="FP80" s="54"/>
      <c r="FT80" s="54"/>
      <c r="FX80" s="54"/>
      <c r="GB80" s="54"/>
      <c r="GF80" s="54"/>
    </row>
    <row r="81" spans="1:188" ht="13.8">
      <c r="A81" s="71" t="s">
        <v>13</v>
      </c>
      <c r="B81" s="79">
        <v>0</v>
      </c>
      <c r="D81" s="54"/>
      <c r="E81" s="55" t="s">
        <v>26</v>
      </c>
      <c r="F81" s="62">
        <v>47.132799999999996</v>
      </c>
      <c r="H81" s="54"/>
      <c r="I81" s="189" t="s">
        <v>581</v>
      </c>
      <c r="J81" s="189"/>
      <c r="L81" s="54"/>
      <c r="M81" s="58" t="s">
        <v>857</v>
      </c>
      <c r="N81" s="62">
        <v>14.707576</v>
      </c>
      <c r="P81" s="54"/>
      <c r="T81" s="54"/>
      <c r="X81" s="54"/>
      <c r="AJ81" s="54"/>
      <c r="AN81" s="54"/>
      <c r="AR81" s="54"/>
      <c r="AV81" s="54"/>
      <c r="AZ81" s="54"/>
      <c r="BD81" s="54"/>
      <c r="BH81" s="54"/>
      <c r="BL81" s="54"/>
      <c r="BP81" s="54"/>
      <c r="BX81" s="54"/>
      <c r="CF81" s="54"/>
      <c r="CJ81" s="54"/>
      <c r="CN81" s="54"/>
      <c r="CR81" s="54"/>
      <c r="CV81" s="54"/>
      <c r="CZ81" s="54"/>
      <c r="DD81" s="54"/>
      <c r="DH81" s="54"/>
      <c r="DL81" s="54"/>
      <c r="DP81" s="54"/>
      <c r="DT81" s="54"/>
      <c r="EF81" s="54"/>
      <c r="EJ81" s="54"/>
      <c r="EN81" s="54"/>
      <c r="ER81" s="54"/>
      <c r="EV81" s="54"/>
      <c r="EZ81" s="54"/>
      <c r="FD81" s="54"/>
      <c r="FH81" s="54"/>
      <c r="FL81" s="54"/>
      <c r="FP81" s="54"/>
      <c r="FT81" s="54"/>
      <c r="FX81" s="54"/>
      <c r="GB81" s="54"/>
      <c r="GF81" s="54"/>
    </row>
    <row r="82" spans="1:188" ht="13.8">
      <c r="A82" s="71" t="s">
        <v>786</v>
      </c>
      <c r="B82" s="79">
        <v>-0.94265599999999994</v>
      </c>
      <c r="D82" s="54"/>
      <c r="E82" s="58" t="s">
        <v>346</v>
      </c>
      <c r="F82" s="62">
        <v>47.132799999999996</v>
      </c>
      <c r="H82" s="54"/>
      <c r="I82" s="58" t="s">
        <v>857</v>
      </c>
      <c r="J82" s="62">
        <v>14.707576</v>
      </c>
      <c r="L82" s="54"/>
      <c r="M82" s="189" t="s">
        <v>572</v>
      </c>
      <c r="N82" s="189"/>
      <c r="P82" s="54"/>
      <c r="T82" s="54"/>
      <c r="X82" s="54"/>
      <c r="AJ82" s="54"/>
      <c r="AN82" s="54"/>
      <c r="AR82" s="54"/>
      <c r="AV82" s="54"/>
      <c r="AZ82" s="54"/>
      <c r="BD82" s="54"/>
      <c r="BH82" s="54"/>
      <c r="BL82" s="54"/>
      <c r="BP82" s="54"/>
      <c r="BX82" s="54"/>
      <c r="CF82" s="54"/>
      <c r="CJ82" s="54"/>
      <c r="CN82" s="54"/>
      <c r="CR82" s="54"/>
      <c r="CV82" s="54"/>
      <c r="CZ82" s="54"/>
      <c r="DD82" s="54"/>
      <c r="DH82" s="54"/>
      <c r="DL82" s="54"/>
      <c r="DP82" s="54"/>
      <c r="DT82" s="54"/>
      <c r="EF82" s="54"/>
      <c r="EJ82" s="54"/>
      <c r="EN82" s="54"/>
      <c r="ER82" s="54"/>
      <c r="EV82" s="54"/>
      <c r="EZ82" s="54"/>
      <c r="FD82" s="54"/>
      <c r="FH82" s="54"/>
      <c r="FL82" s="54"/>
      <c r="FP82" s="54"/>
      <c r="FT82" s="54"/>
      <c r="FX82" s="54"/>
      <c r="GB82" s="54"/>
      <c r="GF82" s="54"/>
    </row>
    <row r="83" spans="1:188" ht="14.4">
      <c r="A83" s="121" t="s">
        <v>1363</v>
      </c>
      <c r="B83" s="79"/>
      <c r="D83" s="54"/>
      <c r="E83" s="58" t="s">
        <v>344</v>
      </c>
      <c r="F83" s="62">
        <v>47.132799999999996</v>
      </c>
      <c r="H83" s="54"/>
      <c r="I83" s="189" t="s">
        <v>572</v>
      </c>
      <c r="J83" s="189"/>
      <c r="L83" s="54"/>
      <c r="M83" s="77" t="s">
        <v>572</v>
      </c>
      <c r="N83" s="62">
        <v>2.86</v>
      </c>
      <c r="P83" s="54"/>
      <c r="T83" s="54"/>
      <c r="X83" s="54"/>
      <c r="AJ83" s="54"/>
      <c r="AN83" s="54"/>
      <c r="AR83" s="54"/>
      <c r="AV83" s="54"/>
      <c r="AZ83" s="54"/>
      <c r="BD83" s="54"/>
      <c r="BH83" s="54"/>
      <c r="BL83" s="54"/>
      <c r="BP83" s="54"/>
      <c r="BX83" s="54"/>
      <c r="CF83" s="54"/>
      <c r="CN83" s="54"/>
      <c r="CR83" s="54"/>
      <c r="CV83" s="54"/>
      <c r="CZ83" s="54"/>
      <c r="DD83" s="54"/>
      <c r="DH83" s="54"/>
      <c r="DL83" s="54"/>
      <c r="DP83" s="54"/>
      <c r="EF83" s="54"/>
      <c r="EJ83" s="54"/>
      <c r="EN83" s="54"/>
      <c r="ER83" s="54"/>
      <c r="EV83" s="54"/>
      <c r="EZ83" s="54"/>
      <c r="FD83" s="54"/>
      <c r="FH83" s="54"/>
      <c r="FL83" s="54"/>
      <c r="FP83" s="54"/>
      <c r="FT83" s="54"/>
      <c r="FX83" s="54"/>
      <c r="GB83" s="54"/>
      <c r="GF83" s="54"/>
    </row>
    <row r="84" spans="1:188" ht="13.8">
      <c r="A84" s="71" t="s">
        <v>28</v>
      </c>
      <c r="B84" s="79">
        <v>-2.5066079999999995</v>
      </c>
      <c r="D84" s="54"/>
      <c r="E84" s="55" t="s">
        <v>27</v>
      </c>
      <c r="F84" s="62">
        <v>54.6312</v>
      </c>
      <c r="H84" s="54"/>
      <c r="I84" s="77" t="s">
        <v>572</v>
      </c>
      <c r="J84" s="62">
        <v>2.86</v>
      </c>
      <c r="L84" s="54"/>
      <c r="M84" s="189" t="s">
        <v>837</v>
      </c>
      <c r="N84" s="189"/>
      <c r="P84" s="54"/>
      <c r="T84" s="54"/>
      <c r="X84" s="54"/>
      <c r="AJ84" s="54"/>
      <c r="AN84" s="54"/>
      <c r="AR84" s="54"/>
      <c r="AV84" s="54"/>
      <c r="AZ84" s="54"/>
      <c r="BD84" s="54"/>
      <c r="BH84" s="54"/>
      <c r="BL84" s="54"/>
      <c r="BP84" s="54"/>
      <c r="BX84" s="54"/>
      <c r="CF84" s="54"/>
      <c r="CN84" s="54"/>
      <c r="CR84" s="54"/>
      <c r="CV84" s="54"/>
      <c r="CZ84" s="54"/>
      <c r="DD84" s="54"/>
      <c r="DH84" s="54"/>
      <c r="DL84" s="54"/>
      <c r="DP84" s="54"/>
      <c r="EF84" s="54"/>
      <c r="EJ84" s="54"/>
      <c r="EN84" s="54"/>
      <c r="ER84" s="54"/>
      <c r="EV84" s="54"/>
      <c r="EZ84" s="54"/>
      <c r="FD84" s="54"/>
      <c r="FH84" s="54"/>
      <c r="FL84" s="54"/>
      <c r="FP84" s="54"/>
      <c r="FT84" s="54"/>
      <c r="GF84" s="54"/>
    </row>
    <row r="85" spans="1:188" ht="14.4">
      <c r="A85" s="189" t="s">
        <v>778</v>
      </c>
      <c r="B85" s="189"/>
      <c r="D85" s="54"/>
      <c r="E85" s="58" t="s">
        <v>342</v>
      </c>
      <c r="F85" s="62">
        <v>54.6312</v>
      </c>
      <c r="H85" s="54"/>
      <c r="I85" s="189" t="s">
        <v>837</v>
      </c>
      <c r="J85" s="189"/>
      <c r="L85" s="54"/>
      <c r="M85" s="58" t="s">
        <v>777</v>
      </c>
      <c r="N85" s="61">
        <v>6.57</v>
      </c>
      <c r="P85" s="54"/>
      <c r="T85" s="54"/>
      <c r="X85" s="54"/>
      <c r="AJ85" s="54"/>
      <c r="AN85" s="54"/>
      <c r="AR85" s="54"/>
      <c r="AV85" s="54"/>
      <c r="AZ85" s="54"/>
      <c r="BD85" s="54"/>
      <c r="BH85" s="54"/>
      <c r="BL85" s="54"/>
      <c r="BP85" s="54"/>
      <c r="BX85" s="54"/>
      <c r="CF85" s="54"/>
      <c r="CN85" s="54"/>
      <c r="CR85" s="54"/>
      <c r="CV85" s="54"/>
      <c r="CZ85" s="54"/>
      <c r="DD85" s="54"/>
      <c r="DH85" s="54"/>
      <c r="DL85" s="54"/>
      <c r="DP85" s="54"/>
      <c r="EF85" s="54"/>
      <c r="EJ85" s="54"/>
      <c r="EN85" s="54"/>
      <c r="ER85" s="54"/>
      <c r="EV85" s="54"/>
      <c r="EZ85" s="54"/>
      <c r="FD85" s="54"/>
      <c r="FH85" s="54"/>
      <c r="FL85" s="54"/>
      <c r="FP85" s="54"/>
      <c r="FT85" s="54"/>
    </row>
    <row r="86" spans="1:188" ht="14.4">
      <c r="A86" s="72" t="s">
        <v>845</v>
      </c>
      <c r="B86" s="56">
        <v>1.79</v>
      </c>
      <c r="D86" s="54"/>
      <c r="E86" s="55" t="s">
        <v>121</v>
      </c>
      <c r="F86" s="62">
        <v>62.129599999999996</v>
      </c>
      <c r="H86" s="54"/>
      <c r="I86" s="58" t="s">
        <v>777</v>
      </c>
      <c r="J86" s="61">
        <v>6.57</v>
      </c>
      <c r="L86" s="54"/>
      <c r="M86" s="189" t="s">
        <v>838</v>
      </c>
      <c r="N86" s="189"/>
      <c r="P86" s="54"/>
      <c r="T86" s="54"/>
      <c r="X86" s="54"/>
      <c r="AJ86" s="54"/>
      <c r="AN86" s="54"/>
      <c r="AR86" s="54"/>
      <c r="AV86" s="54"/>
      <c r="AZ86" s="54"/>
      <c r="BD86" s="54"/>
      <c r="BH86" s="54"/>
      <c r="BL86" s="54"/>
      <c r="BP86" s="54"/>
      <c r="BX86" s="54"/>
      <c r="CF86" s="54"/>
      <c r="CN86" s="54"/>
      <c r="CR86" s="54"/>
      <c r="CV86" s="54"/>
      <c r="CZ86" s="54"/>
      <c r="DD86" s="54"/>
      <c r="DH86" s="54"/>
      <c r="DP86" s="54"/>
      <c r="EJ86" s="54"/>
      <c r="EN86" s="54"/>
      <c r="ER86" s="54"/>
      <c r="EV86" s="54"/>
      <c r="EZ86" s="54"/>
      <c r="FD86" s="54"/>
      <c r="FH86" s="54"/>
      <c r="FL86" s="54"/>
      <c r="FP86" s="54"/>
      <c r="FT86" s="54"/>
    </row>
    <row r="87" spans="1:188" ht="14.4">
      <c r="A87" s="72" t="s">
        <v>844</v>
      </c>
      <c r="B87" s="56">
        <v>2.98</v>
      </c>
      <c r="D87" s="54"/>
      <c r="E87" s="58" t="s">
        <v>337</v>
      </c>
      <c r="F87" s="62">
        <v>62.129599999999996</v>
      </c>
      <c r="H87" s="54"/>
      <c r="I87" s="189" t="s">
        <v>838</v>
      </c>
      <c r="J87" s="189"/>
      <c r="L87" s="54"/>
      <c r="M87" s="58" t="s">
        <v>830</v>
      </c>
      <c r="N87" s="58">
        <v>10.5</v>
      </c>
      <c r="P87" s="54"/>
      <c r="T87" s="54"/>
      <c r="X87" s="54"/>
      <c r="AJ87" s="54"/>
      <c r="AN87" s="54"/>
      <c r="AR87" s="54"/>
      <c r="AV87" s="54"/>
      <c r="AZ87" s="54"/>
      <c r="BD87" s="54"/>
      <c r="BH87" s="54"/>
      <c r="BL87" s="54"/>
      <c r="BP87" s="54"/>
      <c r="BT87" s="60"/>
      <c r="BX87" s="54"/>
      <c r="CF87" s="54"/>
      <c r="CG87" s="55"/>
      <c r="CH87" s="55"/>
      <c r="CI87" s="55"/>
      <c r="CN87" s="54"/>
      <c r="CR87" s="54"/>
      <c r="CV87" s="54"/>
      <c r="CZ87" s="54"/>
      <c r="DD87" s="54"/>
      <c r="DH87" s="54"/>
      <c r="DP87" s="54"/>
      <c r="EJ87" s="54"/>
      <c r="EN87" s="54"/>
      <c r="ER87" s="54"/>
      <c r="EV87" s="54"/>
      <c r="EZ87" s="54"/>
      <c r="FD87" s="54"/>
      <c r="FH87" s="54"/>
      <c r="FL87" s="54"/>
      <c r="FP87" s="54"/>
      <c r="FT87" s="54"/>
    </row>
    <row r="88" spans="1:188" ht="13.8">
      <c r="A88" s="189" t="s">
        <v>834</v>
      </c>
      <c r="B88" s="189"/>
      <c r="D88" s="54"/>
      <c r="E88" s="58" t="s">
        <v>336</v>
      </c>
      <c r="F88" s="62">
        <v>62.129599999999996</v>
      </c>
      <c r="H88" s="54"/>
      <c r="I88" s="58" t="s">
        <v>830</v>
      </c>
      <c r="J88" s="58">
        <v>10.5</v>
      </c>
      <c r="L88" s="54"/>
      <c r="M88" s="58" t="s">
        <v>740</v>
      </c>
      <c r="N88" s="58">
        <v>0.97</v>
      </c>
      <c r="P88" s="54"/>
      <c r="T88" s="54"/>
      <c r="X88" s="54"/>
      <c r="AR88" s="54"/>
      <c r="AV88" s="54"/>
      <c r="AZ88" s="54"/>
      <c r="BD88" s="54"/>
      <c r="BH88" s="54"/>
      <c r="BL88" s="54"/>
      <c r="BP88" s="54"/>
      <c r="BT88" s="60"/>
      <c r="BX88" s="54"/>
      <c r="CF88" s="54"/>
      <c r="CG88" s="55"/>
      <c r="CH88" s="55"/>
      <c r="CI88" s="55"/>
      <c r="CN88" s="54"/>
      <c r="CR88" s="54"/>
      <c r="CV88" s="54"/>
      <c r="DD88" s="54"/>
      <c r="DH88" s="54"/>
      <c r="DP88" s="54"/>
      <c r="EJ88" s="54"/>
      <c r="EN88" s="54"/>
      <c r="ER88" s="54"/>
      <c r="EV88" s="54"/>
      <c r="EZ88" s="54"/>
      <c r="FD88" s="54"/>
      <c r="FH88" s="54"/>
      <c r="FL88" s="54"/>
    </row>
    <row r="89" spans="1:188" ht="14.4">
      <c r="A89" s="56" t="s">
        <v>776</v>
      </c>
      <c r="B89" s="80">
        <v>8</v>
      </c>
      <c r="D89" s="54"/>
      <c r="E89" s="55" t="s">
        <v>122</v>
      </c>
      <c r="F89" s="62">
        <v>69.628</v>
      </c>
      <c r="H89" s="54"/>
      <c r="I89" s="58" t="s">
        <v>740</v>
      </c>
      <c r="J89" s="58">
        <v>0.97</v>
      </c>
      <c r="L89" s="54"/>
      <c r="M89" s="58" t="s">
        <v>585</v>
      </c>
      <c r="N89" s="62">
        <v>12.254527999999999</v>
      </c>
      <c r="P89" s="54"/>
      <c r="T89" s="54"/>
      <c r="X89" s="54"/>
      <c r="AR89" s="54"/>
      <c r="AV89" s="54"/>
      <c r="AZ89" s="54"/>
      <c r="BD89" s="54"/>
      <c r="BH89" s="54"/>
      <c r="BL89" s="54"/>
      <c r="BP89" s="54"/>
      <c r="BT89" s="60"/>
      <c r="BX89" s="54"/>
      <c r="CF89" s="54"/>
      <c r="CG89" s="55"/>
      <c r="CH89" s="55"/>
      <c r="CI89" s="55"/>
      <c r="CN89" s="54"/>
      <c r="CR89" s="54"/>
      <c r="DH89" s="54"/>
      <c r="DP89" s="54"/>
      <c r="EJ89" s="54"/>
      <c r="EN89" s="54"/>
      <c r="ER89" s="54"/>
      <c r="EV89" s="54"/>
      <c r="EZ89" s="54"/>
      <c r="FD89" s="54"/>
      <c r="FH89" s="54"/>
      <c r="FL89" s="54"/>
    </row>
    <row r="90" spans="1:188" ht="14.4">
      <c r="A90" s="189" t="s">
        <v>855</v>
      </c>
      <c r="B90" s="189"/>
      <c r="D90" s="54"/>
      <c r="E90" s="58" t="s">
        <v>335</v>
      </c>
      <c r="F90" s="62">
        <v>69.628</v>
      </c>
      <c r="H90" s="54"/>
      <c r="I90" s="58" t="s">
        <v>585</v>
      </c>
      <c r="J90" s="62">
        <v>12.254527999999999</v>
      </c>
      <c r="L90" s="54"/>
      <c r="M90" s="73" t="s">
        <v>847</v>
      </c>
      <c r="N90" s="73"/>
      <c r="P90" s="54"/>
      <c r="T90" s="54"/>
      <c r="X90" s="54"/>
      <c r="AR90" s="54"/>
      <c r="AV90" s="54"/>
      <c r="AZ90" s="54"/>
      <c r="BD90" s="54"/>
      <c r="BT90" s="60"/>
      <c r="BX90" s="54"/>
      <c r="CF90" s="54"/>
      <c r="CG90" s="55"/>
      <c r="CH90" s="55"/>
      <c r="CI90" s="55"/>
      <c r="CN90" s="54"/>
      <c r="CR90" s="54"/>
      <c r="DH90" s="54"/>
      <c r="DP90" s="54"/>
      <c r="EJ90" s="54"/>
      <c r="EN90" s="54"/>
      <c r="ER90" s="54"/>
      <c r="EV90" s="54"/>
      <c r="EZ90" s="54"/>
      <c r="FD90" s="54"/>
      <c r="FH90" s="54"/>
      <c r="FL90" s="54"/>
    </row>
    <row r="91" spans="1:188" ht="14.4">
      <c r="A91" s="56" t="s">
        <v>861</v>
      </c>
      <c r="B91" s="56">
        <v>12.5</v>
      </c>
      <c r="D91" s="54"/>
      <c r="E91" s="189" t="s">
        <v>736</v>
      </c>
      <c r="F91" s="189"/>
      <c r="H91" s="54"/>
      <c r="I91" s="73" t="s">
        <v>847</v>
      </c>
      <c r="J91" s="73"/>
      <c r="L91" s="54"/>
      <c r="M91" s="74" t="s">
        <v>846</v>
      </c>
      <c r="N91" s="75">
        <v>10.379928</v>
      </c>
      <c r="T91" s="54"/>
      <c r="X91" s="54"/>
      <c r="BX91" s="54"/>
      <c r="CG91" s="55"/>
      <c r="CH91" s="55"/>
      <c r="CI91" s="55"/>
      <c r="CR91" s="54"/>
      <c r="DH91" s="54"/>
      <c r="DP91" s="54"/>
      <c r="EJ91" s="54"/>
      <c r="EN91" s="54"/>
      <c r="ER91" s="54"/>
      <c r="EV91" s="54"/>
      <c r="EZ91" s="54"/>
      <c r="FD91" s="54"/>
      <c r="FH91" s="54"/>
      <c r="FL91" s="54"/>
    </row>
    <row r="92" spans="1:188" ht="14.4">
      <c r="A92" s="189" t="s">
        <v>864</v>
      </c>
      <c r="B92" s="189"/>
      <c r="D92" s="54"/>
      <c r="E92" s="55" t="s">
        <v>741</v>
      </c>
      <c r="F92" s="67">
        <v>0</v>
      </c>
      <c r="H92" s="54"/>
      <c r="I92" s="74" t="s">
        <v>846</v>
      </c>
      <c r="J92" s="75">
        <v>10.379928</v>
      </c>
      <c r="T92" s="54"/>
      <c r="X92" s="54"/>
      <c r="BX92" s="54"/>
      <c r="CG92" s="55"/>
      <c r="CH92" s="55"/>
      <c r="CI92" s="55"/>
      <c r="CR92" s="54"/>
      <c r="DH92" s="54"/>
      <c r="DP92" s="54"/>
      <c r="EJ92" s="54"/>
      <c r="EN92" s="54"/>
      <c r="ER92" s="54"/>
      <c r="EV92" s="54"/>
      <c r="EZ92" s="54"/>
      <c r="FD92" s="54"/>
      <c r="FH92" s="54"/>
      <c r="FL92" s="54"/>
    </row>
    <row r="93" spans="1:188" ht="14.4">
      <c r="A93" s="56" t="s">
        <v>858</v>
      </c>
      <c r="B93" s="56">
        <v>6.64</v>
      </c>
      <c r="D93" s="54"/>
      <c r="E93" s="55" t="s">
        <v>742</v>
      </c>
      <c r="F93" s="67">
        <v>0</v>
      </c>
      <c r="H93" s="54"/>
      <c r="BX93" s="54"/>
      <c r="CG93" s="55"/>
      <c r="CH93" s="55"/>
      <c r="CI93" s="55"/>
      <c r="DP93" s="54"/>
      <c r="EN93" s="54"/>
      <c r="EZ93" s="54"/>
      <c r="FD93" s="54"/>
      <c r="FH93" s="54"/>
      <c r="FL93" s="54"/>
    </row>
    <row r="94" spans="1:188" ht="13.8">
      <c r="A94" s="189" t="s">
        <v>1361</v>
      </c>
      <c r="B94" s="189"/>
      <c r="D94" s="54"/>
      <c r="E94" s="55" t="s">
        <v>743</v>
      </c>
      <c r="F94" s="67">
        <v>6.4271999999999991</v>
      </c>
      <c r="H94" s="54"/>
      <c r="CG94" s="55"/>
      <c r="CH94" s="55"/>
      <c r="CI94" s="55"/>
      <c r="DP94" s="54"/>
      <c r="EZ94" s="54"/>
      <c r="FD94" s="54"/>
      <c r="FH94" s="54"/>
      <c r="FL94" s="54"/>
    </row>
    <row r="95" spans="1:188" ht="14.4">
      <c r="A95" s="135" t="s">
        <v>1361</v>
      </c>
      <c r="B95" s="56"/>
      <c r="D95" s="54"/>
      <c r="E95" s="55" t="s">
        <v>744</v>
      </c>
      <c r="F95" s="67">
        <v>6.4271999999999991</v>
      </c>
      <c r="H95" s="54"/>
      <c r="CC95" s="55"/>
      <c r="CD95" s="55"/>
      <c r="CE95" s="55"/>
      <c r="CG95" s="55"/>
      <c r="CH95" s="55"/>
      <c r="CI95" s="55"/>
      <c r="EZ95" s="54"/>
      <c r="FD95" s="54"/>
      <c r="FH95" s="54"/>
      <c r="FL95" s="54"/>
    </row>
    <row r="96" spans="1:188" ht="13.8">
      <c r="A96" s="189" t="s">
        <v>856</v>
      </c>
      <c r="B96" s="189"/>
      <c r="D96" s="54"/>
      <c r="E96" s="55" t="s">
        <v>745</v>
      </c>
      <c r="F96" s="67">
        <v>6.4271999999999991</v>
      </c>
      <c r="H96" s="54"/>
      <c r="CC96" s="55"/>
      <c r="CD96" s="55"/>
      <c r="CE96" s="55"/>
      <c r="CG96" s="55"/>
      <c r="CH96" s="55"/>
      <c r="CI96" s="55"/>
      <c r="EZ96" s="54"/>
      <c r="FD96" s="54"/>
    </row>
    <row r="97" spans="1:160" ht="14.4">
      <c r="A97" s="56" t="s">
        <v>856</v>
      </c>
      <c r="B97" s="56">
        <v>2.74</v>
      </c>
      <c r="D97" s="54"/>
      <c r="E97" s="55" t="s">
        <v>746</v>
      </c>
      <c r="F97" s="67">
        <v>6.4271999999999991</v>
      </c>
      <c r="H97" s="54"/>
      <c r="CC97" s="55"/>
      <c r="CD97" s="55"/>
      <c r="CE97" s="55"/>
      <c r="CG97" s="55"/>
      <c r="CH97" s="55"/>
      <c r="CI97" s="55"/>
      <c r="EZ97" s="54"/>
      <c r="FD97" s="54"/>
    </row>
    <row r="98" spans="1:160" ht="13.8">
      <c r="A98" s="189" t="s">
        <v>859</v>
      </c>
      <c r="B98" s="189"/>
      <c r="D98" s="54"/>
      <c r="E98" s="189" t="s">
        <v>739</v>
      </c>
      <c r="F98" s="189"/>
      <c r="H98" s="54"/>
      <c r="CC98" s="55"/>
      <c r="CD98" s="55"/>
      <c r="CE98" s="55"/>
      <c r="CG98" s="55"/>
      <c r="CH98" s="55"/>
      <c r="CI98" s="55"/>
      <c r="EZ98" s="54"/>
      <c r="FD98" s="54"/>
    </row>
    <row r="99" spans="1:160" ht="14.4">
      <c r="A99" s="56" t="s">
        <v>859</v>
      </c>
      <c r="B99" s="56">
        <v>13.37</v>
      </c>
      <c r="D99" s="54"/>
      <c r="E99" s="71" t="s">
        <v>730</v>
      </c>
      <c r="F99" s="79">
        <v>2.2709440000000001</v>
      </c>
      <c r="H99" s="54"/>
      <c r="AG99" s="81"/>
      <c r="AH99" s="81"/>
      <c r="CC99" s="55"/>
      <c r="CD99" s="55"/>
      <c r="CE99" s="55"/>
      <c r="CG99" s="55"/>
      <c r="CH99" s="55"/>
      <c r="CI99" s="55"/>
      <c r="EZ99" s="54"/>
      <c r="FD99" s="54"/>
    </row>
    <row r="100" spans="1:160" ht="13.8">
      <c r="A100" s="189" t="s">
        <v>581</v>
      </c>
      <c r="B100" s="189"/>
      <c r="D100" s="54"/>
      <c r="E100" s="71" t="s">
        <v>13</v>
      </c>
      <c r="F100" s="79">
        <v>0</v>
      </c>
      <c r="H100" s="54"/>
      <c r="AG100" s="81"/>
      <c r="AH100" s="81"/>
      <c r="CC100" s="55"/>
      <c r="CD100" s="55"/>
      <c r="CE100" s="55"/>
      <c r="CG100" s="55"/>
      <c r="CH100" s="55"/>
      <c r="CI100" s="55"/>
      <c r="EZ100" s="54"/>
      <c r="FD100" s="54"/>
    </row>
    <row r="101" spans="1:160" ht="13.8">
      <c r="A101" s="58" t="s">
        <v>857</v>
      </c>
      <c r="B101" s="62">
        <v>14.707576</v>
      </c>
      <c r="D101" s="54"/>
      <c r="E101" s="71" t="s">
        <v>786</v>
      </c>
      <c r="F101" s="79">
        <v>-0.94265599999999994</v>
      </c>
      <c r="H101" s="54"/>
      <c r="P101" s="82"/>
      <c r="Q101" s="82"/>
      <c r="R101" s="82"/>
      <c r="S101" s="82"/>
      <c r="X101" s="81"/>
      <c r="CC101" s="55"/>
      <c r="CD101" s="55"/>
      <c r="CE101" s="55"/>
      <c r="CG101" s="55"/>
      <c r="CH101" s="55"/>
      <c r="CI101" s="55"/>
      <c r="EZ101" s="54"/>
      <c r="FD101" s="54"/>
    </row>
    <row r="102" spans="1:160" ht="14.4">
      <c r="A102" s="189" t="s">
        <v>572</v>
      </c>
      <c r="B102" s="189"/>
      <c r="D102" s="54"/>
      <c r="E102" s="121" t="s">
        <v>1363</v>
      </c>
      <c r="F102" s="79"/>
      <c r="H102" s="54"/>
      <c r="L102" s="82"/>
      <c r="P102" s="82"/>
      <c r="Q102" s="82"/>
      <c r="R102" s="82"/>
      <c r="S102" s="82"/>
      <c r="T102" s="82"/>
      <c r="X102" s="81"/>
      <c r="CC102" s="55"/>
      <c r="CD102" s="55"/>
      <c r="CE102" s="55"/>
      <c r="CG102" s="55"/>
      <c r="CH102" s="55"/>
      <c r="CI102" s="55"/>
      <c r="EZ102" s="54"/>
      <c r="FD102" s="54"/>
    </row>
    <row r="103" spans="1:160" ht="13.8">
      <c r="A103" s="77" t="s">
        <v>572</v>
      </c>
      <c r="B103" s="62">
        <v>2.86</v>
      </c>
      <c r="D103" s="54"/>
      <c r="E103" s="71" t="s">
        <v>28</v>
      </c>
      <c r="F103" s="79">
        <v>-2.5066079999999995</v>
      </c>
      <c r="H103" s="54"/>
      <c r="L103" s="82"/>
      <c r="N103" s="82"/>
      <c r="O103" s="82"/>
      <c r="Q103" s="82"/>
      <c r="R103" s="82"/>
      <c r="S103" s="82"/>
      <c r="T103" s="82"/>
      <c r="CC103" s="55"/>
      <c r="CD103" s="55"/>
      <c r="CE103" s="55"/>
      <c r="CG103" s="55"/>
      <c r="CH103" s="55"/>
      <c r="CI103" s="55"/>
      <c r="EZ103" s="54"/>
      <c r="FD103" s="54"/>
    </row>
    <row r="104" spans="1:160" ht="13.8">
      <c r="A104" s="189" t="s">
        <v>837</v>
      </c>
      <c r="B104" s="189"/>
      <c r="D104" s="54"/>
      <c r="E104" s="189" t="s">
        <v>778</v>
      </c>
      <c r="F104" s="189"/>
      <c r="H104" s="54"/>
      <c r="J104" s="82"/>
      <c r="K104" s="82"/>
      <c r="N104" s="82"/>
      <c r="O104" s="82"/>
      <c r="Q104" s="82"/>
      <c r="R104" s="82"/>
      <c r="S104" s="82"/>
      <c r="T104" s="82"/>
      <c r="CC104" s="55"/>
      <c r="CD104" s="55"/>
      <c r="CE104" s="55"/>
      <c r="CG104" s="55"/>
      <c r="CH104" s="55"/>
      <c r="CI104" s="55"/>
      <c r="EZ104" s="54"/>
      <c r="FD104" s="54"/>
    </row>
    <row r="105" spans="1:160" ht="14.4">
      <c r="A105" s="58" t="s">
        <v>777</v>
      </c>
      <c r="B105" s="61">
        <v>6.57</v>
      </c>
      <c r="D105" s="53" t="s">
        <v>827</v>
      </c>
      <c r="E105" s="72" t="s">
        <v>845</v>
      </c>
      <c r="F105" s="56">
        <v>1.79</v>
      </c>
      <c r="H105" s="54"/>
      <c r="J105" s="82"/>
      <c r="K105" s="82"/>
      <c r="O105" s="82"/>
      <c r="S105" s="82"/>
      <c r="V105" s="81"/>
      <c r="W105" s="81"/>
      <c r="CC105" s="55"/>
      <c r="CD105" s="55"/>
      <c r="CE105" s="55"/>
      <c r="CG105" s="55"/>
      <c r="CH105" s="55"/>
      <c r="CI105" s="55"/>
      <c r="EZ105" s="54"/>
      <c r="FD105" s="54"/>
    </row>
    <row r="106" spans="1:160" ht="14.4">
      <c r="A106" s="189" t="s">
        <v>838</v>
      </c>
      <c r="B106" s="189"/>
      <c r="D106" s="54"/>
      <c r="E106" s="72" t="s">
        <v>844</v>
      </c>
      <c r="F106" s="56">
        <v>2.98</v>
      </c>
      <c r="H106" s="54"/>
      <c r="K106" s="82"/>
      <c r="O106" s="82"/>
      <c r="S106" s="82"/>
      <c r="U106" s="82"/>
      <c r="V106" s="82"/>
      <c r="W106" s="82"/>
      <c r="BO106" s="60"/>
      <c r="BP106" s="60"/>
      <c r="CC106" s="55"/>
      <c r="CD106" s="55"/>
      <c r="CE106" s="55"/>
      <c r="CG106" s="55"/>
      <c r="CH106" s="55"/>
      <c r="CI106" s="55"/>
      <c r="EZ106" s="54"/>
      <c r="FD106" s="54"/>
    </row>
    <row r="107" spans="1:160" ht="13.8">
      <c r="A107" s="58" t="s">
        <v>823</v>
      </c>
      <c r="B107" s="58">
        <v>11.1</v>
      </c>
      <c r="D107" s="54"/>
      <c r="E107" s="189" t="s">
        <v>855</v>
      </c>
      <c r="F107" s="189"/>
      <c r="H107" s="54"/>
      <c r="K107" s="82"/>
      <c r="N107" s="81"/>
      <c r="O107" s="82"/>
      <c r="U107" s="82"/>
      <c r="V107" s="82"/>
      <c r="W107" s="82"/>
      <c r="BO107" s="60"/>
      <c r="BP107" s="60"/>
      <c r="CC107" s="55"/>
      <c r="CD107" s="55"/>
      <c r="CE107" s="55"/>
      <c r="CG107" s="55"/>
      <c r="CH107" s="55"/>
      <c r="CI107" s="55"/>
      <c r="FD107" s="54"/>
    </row>
    <row r="108" spans="1:160" ht="14.4">
      <c r="A108" s="58" t="s">
        <v>732</v>
      </c>
      <c r="B108" s="58">
        <v>1.94</v>
      </c>
      <c r="D108" s="54"/>
      <c r="E108" s="56" t="s">
        <v>861</v>
      </c>
      <c r="F108" s="56">
        <v>12.5</v>
      </c>
      <c r="H108" s="54"/>
      <c r="J108" s="81"/>
      <c r="K108" s="82"/>
      <c r="N108" s="81"/>
      <c r="O108" s="82"/>
      <c r="U108" s="82"/>
      <c r="V108" s="82"/>
      <c r="W108" s="82"/>
      <c r="BN108" s="60"/>
      <c r="BO108" s="60"/>
      <c r="BP108" s="60"/>
      <c r="CC108" s="55"/>
      <c r="CD108" s="55"/>
      <c r="CE108" s="55"/>
      <c r="CG108" s="55"/>
      <c r="CH108" s="55"/>
      <c r="CI108" s="55"/>
      <c r="FD108" s="54"/>
    </row>
    <row r="109" spans="1:160" ht="13.8">
      <c r="A109" s="58" t="s">
        <v>585</v>
      </c>
      <c r="B109" s="62">
        <v>12.254527999999999</v>
      </c>
      <c r="D109" s="54"/>
      <c r="E109" s="189" t="s">
        <v>864</v>
      </c>
      <c r="F109" s="189"/>
      <c r="H109" s="54"/>
      <c r="J109" s="81"/>
      <c r="K109" s="82"/>
      <c r="BN109" s="60"/>
      <c r="BO109" s="60"/>
      <c r="BP109" s="60"/>
      <c r="CC109" s="55"/>
      <c r="CD109" s="55"/>
      <c r="CE109" s="55"/>
      <c r="CG109" s="55"/>
      <c r="CH109" s="55"/>
      <c r="CI109" s="55"/>
      <c r="FD109" s="54"/>
    </row>
    <row r="110" spans="1:160" ht="14.4">
      <c r="A110" s="73" t="s">
        <v>847</v>
      </c>
      <c r="B110" s="73"/>
      <c r="D110" s="54"/>
      <c r="E110" s="56" t="s">
        <v>858</v>
      </c>
      <c r="F110" s="56">
        <v>6.64</v>
      </c>
      <c r="H110" s="54"/>
      <c r="BM110" s="60"/>
      <c r="BN110" s="60"/>
      <c r="BO110" s="60"/>
      <c r="CC110" s="55"/>
      <c r="CD110" s="55"/>
      <c r="CE110" s="55"/>
      <c r="CG110" s="55"/>
      <c r="CH110" s="55"/>
      <c r="CI110" s="55"/>
      <c r="FD110" s="54"/>
    </row>
    <row r="111" spans="1:160" ht="14.4">
      <c r="A111" s="74" t="s">
        <v>846</v>
      </c>
      <c r="B111" s="75">
        <v>10.379928</v>
      </c>
      <c r="E111" s="189" t="s">
        <v>856</v>
      </c>
      <c r="F111" s="189"/>
      <c r="H111" s="54"/>
      <c r="BM111" s="60"/>
      <c r="BN111" s="60"/>
      <c r="BO111" s="60"/>
      <c r="CC111" s="55"/>
      <c r="CD111" s="55"/>
      <c r="CE111" s="55"/>
      <c r="CG111" s="55"/>
      <c r="CH111" s="55"/>
      <c r="CI111" s="55"/>
      <c r="FD111" s="54"/>
    </row>
    <row r="112" spans="1:160" ht="14.4">
      <c r="E112" s="56" t="s">
        <v>856</v>
      </c>
      <c r="F112" s="56">
        <v>2.74</v>
      </c>
      <c r="H112" s="54"/>
      <c r="BM112" s="60"/>
      <c r="BN112" s="60"/>
      <c r="BO112" s="60"/>
      <c r="CC112" s="55"/>
      <c r="CD112" s="55"/>
      <c r="CE112" s="55"/>
      <c r="CG112" s="55"/>
      <c r="CH112" s="55"/>
      <c r="CI112" s="55"/>
      <c r="FD112" s="54"/>
    </row>
    <row r="113" spans="5:160" ht="13.8">
      <c r="E113" s="189" t="s">
        <v>859</v>
      </c>
      <c r="F113" s="189"/>
      <c r="H113" s="54"/>
      <c r="BM113" s="60"/>
      <c r="BN113" s="60"/>
      <c r="BO113" s="60"/>
      <c r="CC113" s="55"/>
      <c r="CD113" s="55"/>
      <c r="CE113" s="55"/>
      <c r="CG113" s="55"/>
      <c r="CH113" s="55"/>
      <c r="CI113" s="55"/>
      <c r="FD113" s="54"/>
    </row>
    <row r="114" spans="5:160" ht="14.4">
      <c r="E114" s="56" t="s">
        <v>859</v>
      </c>
      <c r="F114" s="56">
        <v>13.37</v>
      </c>
      <c r="H114" s="54"/>
      <c r="BM114" s="60"/>
      <c r="BN114" s="60"/>
      <c r="BO114" s="60"/>
      <c r="CC114" s="55"/>
      <c r="CD114" s="55"/>
      <c r="CE114" s="55"/>
      <c r="CG114" s="55"/>
      <c r="CH114" s="55"/>
      <c r="CI114" s="55"/>
      <c r="FD114" s="54"/>
    </row>
    <row r="115" spans="5:160" ht="13.8">
      <c r="E115" s="189" t="s">
        <v>581</v>
      </c>
      <c r="F115" s="189"/>
      <c r="H115" s="54"/>
      <c r="BM115" s="60"/>
      <c r="BN115" s="60"/>
      <c r="BO115" s="60"/>
      <c r="CC115" s="55"/>
      <c r="CD115" s="55"/>
      <c r="CE115" s="55"/>
      <c r="CG115" s="55"/>
      <c r="CH115" s="55"/>
      <c r="CI115" s="55"/>
      <c r="FD115" s="54"/>
    </row>
    <row r="116" spans="5:160" ht="13.8">
      <c r="E116" s="58" t="s">
        <v>857</v>
      </c>
      <c r="F116" s="62">
        <v>14.707576</v>
      </c>
      <c r="H116" s="54"/>
      <c r="BM116" s="60"/>
      <c r="BN116" s="60"/>
      <c r="BO116" s="60"/>
      <c r="CC116" s="55"/>
      <c r="CD116" s="55"/>
      <c r="CE116" s="55"/>
      <c r="CG116" s="55"/>
      <c r="CH116" s="55"/>
      <c r="CI116" s="55"/>
      <c r="FD116" s="54"/>
    </row>
    <row r="117" spans="5:160" ht="13.8">
      <c r="E117" s="189" t="s">
        <v>572</v>
      </c>
      <c r="F117" s="189"/>
      <c r="H117" s="54"/>
      <c r="BM117" s="60"/>
      <c r="BN117" s="60"/>
      <c r="BO117" s="60"/>
      <c r="CC117" s="55"/>
      <c r="CD117" s="55"/>
      <c r="CE117" s="55"/>
      <c r="CG117" s="55"/>
      <c r="CH117" s="55"/>
      <c r="CI117" s="55"/>
    </row>
    <row r="118" spans="5:160" ht="13.8">
      <c r="E118" s="77" t="s">
        <v>572</v>
      </c>
      <c r="F118" s="62">
        <v>2.86</v>
      </c>
      <c r="H118" s="54"/>
      <c r="BM118" s="60"/>
      <c r="BN118" s="60"/>
      <c r="BO118" s="60"/>
      <c r="CC118" s="55"/>
      <c r="CD118" s="55"/>
      <c r="CE118" s="55"/>
      <c r="CG118" s="55"/>
      <c r="CH118" s="55"/>
      <c r="CI118" s="55"/>
    </row>
    <row r="119" spans="5:160" ht="13.8">
      <c r="E119" s="189" t="s">
        <v>837</v>
      </c>
      <c r="F119" s="189"/>
      <c r="H119" s="54"/>
      <c r="BM119" s="60"/>
      <c r="BN119" s="60"/>
      <c r="BO119" s="60"/>
      <c r="CC119" s="55"/>
      <c r="CD119" s="55"/>
      <c r="CE119" s="55"/>
      <c r="CG119" s="55"/>
      <c r="CH119" s="55"/>
      <c r="CI119" s="55"/>
    </row>
    <row r="120" spans="5:160" ht="14.4">
      <c r="E120" s="58" t="s">
        <v>777</v>
      </c>
      <c r="F120" s="61">
        <v>6.57</v>
      </c>
      <c r="H120" s="54"/>
      <c r="BM120" s="60"/>
      <c r="BN120" s="60"/>
      <c r="BO120" s="60"/>
      <c r="CC120" s="55"/>
      <c r="CD120" s="55"/>
      <c r="CE120" s="55"/>
      <c r="CG120" s="55"/>
      <c r="CH120" s="55"/>
      <c r="CI120" s="55"/>
    </row>
    <row r="121" spans="5:160" ht="13.8">
      <c r="E121" s="189" t="s">
        <v>838</v>
      </c>
      <c r="F121" s="189"/>
      <c r="H121" s="53" t="s">
        <v>827</v>
      </c>
      <c r="BM121" s="60"/>
      <c r="BN121" s="60"/>
      <c r="BO121" s="60"/>
      <c r="CC121" s="55"/>
      <c r="CD121" s="55"/>
      <c r="CE121" s="55"/>
      <c r="CG121" s="55"/>
      <c r="CH121" s="55"/>
      <c r="CI121" s="55"/>
    </row>
    <row r="122" spans="5:160" ht="13.8">
      <c r="E122" s="58" t="s">
        <v>823</v>
      </c>
      <c r="F122" s="58">
        <v>11.1</v>
      </c>
      <c r="H122" s="54"/>
      <c r="BM122" s="60"/>
      <c r="BN122" s="60"/>
      <c r="BO122" s="60"/>
      <c r="CC122" s="55"/>
      <c r="CD122" s="55"/>
      <c r="CE122" s="55"/>
      <c r="CG122" s="55"/>
      <c r="CH122" s="55"/>
      <c r="CI122" s="55"/>
    </row>
    <row r="123" spans="5:160" ht="13.8">
      <c r="E123" s="58" t="s">
        <v>732</v>
      </c>
      <c r="F123" s="58">
        <v>1.94</v>
      </c>
      <c r="H123" s="54"/>
      <c r="BM123" s="60"/>
      <c r="BN123" s="60"/>
      <c r="BO123" s="60"/>
      <c r="CC123" s="55"/>
      <c r="CD123" s="55"/>
      <c r="CE123" s="55"/>
      <c r="CG123" s="55"/>
      <c r="CH123" s="55"/>
      <c r="CI123" s="55"/>
    </row>
    <row r="124" spans="5:160" ht="13.8">
      <c r="E124" s="58" t="s">
        <v>585</v>
      </c>
      <c r="F124" s="62">
        <v>12.254527999999999</v>
      </c>
      <c r="H124" s="54"/>
      <c r="BM124" s="60"/>
      <c r="BN124" s="60"/>
      <c r="BO124" s="60"/>
      <c r="CC124" s="55"/>
      <c r="CD124" s="55"/>
      <c r="CE124" s="55"/>
    </row>
    <row r="125" spans="5:160" ht="14.4">
      <c r="E125" s="73" t="s">
        <v>847</v>
      </c>
      <c r="F125" s="73"/>
      <c r="H125" s="54"/>
      <c r="BM125" s="60"/>
      <c r="BN125" s="60"/>
      <c r="BO125" s="60"/>
      <c r="CC125" s="55"/>
      <c r="CD125" s="55"/>
      <c r="CE125" s="55"/>
    </row>
    <row r="126" spans="5:160" ht="14.4">
      <c r="E126" s="74" t="s">
        <v>846</v>
      </c>
      <c r="F126" s="75">
        <v>10.379928</v>
      </c>
      <c r="H126" s="54"/>
      <c r="BM126" s="60"/>
      <c r="BN126" s="60"/>
      <c r="BO126" s="60"/>
      <c r="CC126" s="55"/>
      <c r="CD126" s="55"/>
      <c r="CE126" s="55"/>
    </row>
    <row r="127" spans="5:160">
      <c r="BM127" s="60"/>
      <c r="BN127" s="60"/>
      <c r="BO127" s="60"/>
      <c r="CC127" s="55"/>
      <c r="CD127" s="55"/>
      <c r="CE127" s="55"/>
    </row>
    <row r="128" spans="5:160">
      <c r="BM128" s="60"/>
      <c r="BN128" s="60"/>
      <c r="BO128" s="60"/>
      <c r="BS128" s="60"/>
      <c r="CC128" s="55"/>
      <c r="CD128" s="55"/>
      <c r="CE128" s="55"/>
    </row>
    <row r="129" spans="65:87">
      <c r="BM129" s="60"/>
      <c r="BN129" s="60"/>
      <c r="BO129" s="60"/>
      <c r="BS129" s="60"/>
      <c r="CC129" s="55"/>
      <c r="CD129" s="55"/>
      <c r="CE129" s="55"/>
    </row>
    <row r="130" spans="65:87">
      <c r="BM130" s="60"/>
      <c r="BN130" s="60"/>
      <c r="BO130" s="60"/>
      <c r="BR130" s="60"/>
      <c r="BS130" s="60"/>
      <c r="CC130" s="55"/>
      <c r="CD130" s="55"/>
      <c r="CE130" s="55"/>
    </row>
    <row r="131" spans="65:87">
      <c r="BM131" s="60"/>
      <c r="BN131" s="60"/>
      <c r="BO131" s="60"/>
      <c r="BR131" s="60"/>
      <c r="BS131" s="60"/>
      <c r="CC131" s="55"/>
      <c r="CD131" s="55"/>
      <c r="CE131" s="55"/>
    </row>
    <row r="132" spans="65:87">
      <c r="BM132" s="60"/>
      <c r="BN132" s="60"/>
      <c r="BO132" s="60"/>
      <c r="BQ132" s="60"/>
      <c r="BR132" s="60"/>
      <c r="BS132" s="60"/>
    </row>
    <row r="133" spans="65:87">
      <c r="BM133" s="60"/>
      <c r="BN133" s="60"/>
      <c r="BO133" s="60"/>
      <c r="BQ133" s="60"/>
      <c r="BR133" s="60"/>
      <c r="BS133" s="60"/>
    </row>
    <row r="134" spans="65:87">
      <c r="BM134" s="60"/>
      <c r="BN134" s="60"/>
      <c r="BO134" s="60"/>
      <c r="BQ134" s="60"/>
      <c r="BR134" s="60"/>
      <c r="BS134" s="60"/>
    </row>
    <row r="135" spans="65:87">
      <c r="BM135" s="60"/>
      <c r="BN135" s="60"/>
      <c r="BO135" s="60"/>
      <c r="BQ135" s="60"/>
      <c r="BR135" s="60"/>
      <c r="BS135" s="60"/>
      <c r="CG135" s="55"/>
      <c r="CH135" s="55"/>
      <c r="CI135" s="55"/>
    </row>
    <row r="136" spans="65:87">
      <c r="BM136" s="60"/>
      <c r="BN136" s="60"/>
      <c r="BO136" s="60"/>
      <c r="BQ136" s="60"/>
      <c r="BR136" s="60"/>
      <c r="BS136" s="60"/>
      <c r="BT136" s="60"/>
      <c r="CG136" s="55"/>
      <c r="CH136" s="55"/>
      <c r="CI136" s="55"/>
    </row>
    <row r="137" spans="65:87">
      <c r="BM137" s="60"/>
      <c r="BN137" s="60"/>
      <c r="BO137" s="60"/>
      <c r="BQ137" s="60"/>
      <c r="BR137" s="60"/>
      <c r="BS137" s="60"/>
      <c r="CG137" s="55"/>
      <c r="CH137" s="55"/>
      <c r="CI137" s="55"/>
    </row>
    <row r="138" spans="65:87">
      <c r="BM138" s="60"/>
      <c r="BN138" s="60"/>
      <c r="BO138" s="60"/>
      <c r="BQ138" s="60"/>
      <c r="BR138" s="60"/>
      <c r="BS138" s="60"/>
      <c r="CG138" s="55"/>
      <c r="CH138" s="55"/>
      <c r="CI138" s="55"/>
    </row>
    <row r="139" spans="65:87">
      <c r="BM139" s="60"/>
      <c r="BN139" s="60"/>
      <c r="BO139" s="60"/>
      <c r="BQ139" s="60"/>
      <c r="BR139" s="60"/>
      <c r="BS139" s="60"/>
      <c r="CG139" s="55"/>
      <c r="CH139" s="55"/>
      <c r="CI139" s="55"/>
    </row>
    <row r="140" spans="65:87">
      <c r="BM140" s="60"/>
      <c r="BN140" s="60"/>
      <c r="BO140" s="60"/>
      <c r="BQ140" s="60"/>
      <c r="BR140" s="60"/>
      <c r="BS140" s="60"/>
      <c r="CG140" s="55"/>
      <c r="CH140" s="55"/>
      <c r="CI140" s="55"/>
    </row>
    <row r="141" spans="65:87">
      <c r="BM141" s="60"/>
      <c r="BN141" s="60"/>
      <c r="BO141" s="60"/>
      <c r="BQ141" s="60"/>
      <c r="BR141" s="60"/>
      <c r="BS141" s="60"/>
      <c r="CG141" s="55"/>
      <c r="CH141" s="55"/>
      <c r="CI141" s="55"/>
    </row>
    <row r="142" spans="65:87">
      <c r="BM142" s="60"/>
      <c r="BN142" s="60"/>
      <c r="BO142" s="60"/>
      <c r="BQ142" s="60"/>
      <c r="BR142" s="60"/>
      <c r="BS142" s="60"/>
      <c r="CG142" s="55"/>
      <c r="CH142" s="55"/>
      <c r="CI142" s="55"/>
    </row>
    <row r="143" spans="65:87">
      <c r="BM143" s="60"/>
      <c r="BN143" s="60"/>
      <c r="BO143" s="60"/>
      <c r="BQ143" s="60"/>
      <c r="BR143" s="60"/>
      <c r="BS143" s="60"/>
      <c r="CC143" s="55"/>
      <c r="CD143" s="55"/>
      <c r="CE143" s="55"/>
      <c r="CG143" s="55"/>
      <c r="CH143" s="55"/>
      <c r="CI143" s="55"/>
    </row>
    <row r="144" spans="65:87">
      <c r="BM144" s="60"/>
      <c r="BN144" s="60"/>
      <c r="BO144" s="60"/>
      <c r="BQ144" s="60"/>
      <c r="BR144" s="60"/>
      <c r="BS144" s="60"/>
      <c r="CC144" s="55"/>
      <c r="CD144" s="55"/>
      <c r="CE144" s="55"/>
      <c r="CG144" s="55"/>
      <c r="CH144" s="55"/>
      <c r="CI144" s="55"/>
    </row>
    <row r="145" spans="65:87">
      <c r="BM145" s="60"/>
      <c r="BN145" s="60"/>
      <c r="BO145" s="60"/>
      <c r="BQ145" s="60"/>
      <c r="BR145" s="60"/>
      <c r="BS145" s="60"/>
      <c r="CC145" s="55"/>
      <c r="CD145" s="55"/>
      <c r="CE145" s="55"/>
      <c r="CG145" s="55"/>
      <c r="CH145" s="55"/>
      <c r="CI145" s="55"/>
    </row>
    <row r="146" spans="65:87">
      <c r="BM146" s="60"/>
      <c r="BN146" s="60"/>
      <c r="BO146" s="60"/>
      <c r="BQ146" s="60"/>
      <c r="BR146" s="60"/>
      <c r="BS146" s="60"/>
      <c r="BX146" s="60"/>
      <c r="CC146" s="55"/>
      <c r="CD146" s="55"/>
      <c r="CE146" s="55"/>
      <c r="CG146" s="55"/>
      <c r="CH146" s="55"/>
      <c r="CI146" s="55"/>
    </row>
    <row r="147" spans="65:87" ht="14.25" customHeight="1">
      <c r="BM147" s="60"/>
      <c r="BN147" s="60"/>
      <c r="BO147" s="60"/>
      <c r="BQ147" s="60"/>
      <c r="BR147" s="60"/>
      <c r="BS147" s="60"/>
      <c r="BW147" s="60"/>
      <c r="BX147" s="60"/>
      <c r="CC147" s="55"/>
      <c r="CD147" s="55"/>
      <c r="CE147" s="55"/>
      <c r="CG147" s="55"/>
      <c r="CH147" s="55"/>
      <c r="CI147" s="55"/>
    </row>
    <row r="148" spans="65:87" ht="14.25" customHeight="1">
      <c r="BM148" s="60"/>
      <c r="BN148" s="60"/>
      <c r="BO148" s="60"/>
      <c r="BQ148" s="60"/>
      <c r="BR148" s="60"/>
      <c r="BS148" s="60"/>
      <c r="BW148" s="60"/>
      <c r="BX148" s="60"/>
      <c r="CC148" s="55"/>
      <c r="CD148" s="55"/>
      <c r="CE148" s="55"/>
      <c r="CG148" s="55"/>
      <c r="CH148" s="55"/>
      <c r="CI148" s="55"/>
    </row>
    <row r="149" spans="65:87">
      <c r="BM149" s="60"/>
      <c r="BN149" s="60"/>
      <c r="BO149" s="60"/>
      <c r="BQ149" s="60"/>
      <c r="BR149" s="60"/>
      <c r="BS149" s="60"/>
      <c r="BV149" s="60"/>
      <c r="BW149" s="60"/>
      <c r="BX149" s="60"/>
      <c r="CC149" s="55"/>
      <c r="CD149" s="55"/>
      <c r="CE149" s="55"/>
      <c r="CG149" s="55"/>
      <c r="CH149" s="55"/>
      <c r="CI149" s="55"/>
    </row>
    <row r="150" spans="65:87" ht="14.25" customHeight="1">
      <c r="BM150" s="60"/>
      <c r="BN150" s="60"/>
      <c r="BO150" s="60"/>
      <c r="BQ150" s="60"/>
      <c r="BR150" s="60"/>
      <c r="BS150" s="60"/>
      <c r="BV150" s="60"/>
      <c r="BW150" s="60"/>
      <c r="CC150" s="55"/>
      <c r="CD150" s="55"/>
      <c r="CE150" s="55"/>
      <c r="CG150" s="55"/>
      <c r="CH150" s="55"/>
      <c r="CI150" s="55"/>
    </row>
    <row r="151" spans="65:87" ht="14.25" customHeight="1">
      <c r="BM151" s="60"/>
      <c r="BN151" s="60"/>
      <c r="BO151" s="60"/>
      <c r="BQ151" s="60"/>
      <c r="BR151" s="60"/>
      <c r="BS151" s="60"/>
      <c r="BU151" s="60"/>
      <c r="BV151" s="60"/>
      <c r="BW151" s="60"/>
      <c r="CC151" s="55"/>
      <c r="CD151" s="55"/>
      <c r="CE151" s="55"/>
      <c r="CG151" s="55"/>
      <c r="CH151" s="55"/>
      <c r="CI151" s="55"/>
    </row>
    <row r="152" spans="65:87" ht="14.25" customHeight="1">
      <c r="BM152" s="60"/>
      <c r="BN152" s="60"/>
      <c r="BO152" s="60"/>
      <c r="BQ152" s="60"/>
      <c r="BR152" s="60"/>
      <c r="BS152" s="60"/>
      <c r="BU152" s="60"/>
      <c r="BV152" s="60"/>
      <c r="BW152" s="60"/>
      <c r="CC152" s="55"/>
      <c r="CD152" s="55"/>
      <c r="CE152" s="55"/>
      <c r="CG152" s="55"/>
      <c r="CH152" s="55"/>
      <c r="CI152" s="55"/>
    </row>
    <row r="153" spans="65:87">
      <c r="BM153" s="60"/>
      <c r="BN153" s="60"/>
      <c r="BO153" s="60"/>
      <c r="BQ153" s="60"/>
      <c r="BR153" s="60"/>
      <c r="BS153" s="60"/>
      <c r="BU153" s="60"/>
      <c r="BV153" s="60"/>
      <c r="BW153" s="60"/>
      <c r="CC153" s="55"/>
      <c r="CD153" s="55"/>
      <c r="CE153" s="55"/>
      <c r="CG153" s="55"/>
      <c r="CH153" s="55"/>
      <c r="CI153" s="55"/>
    </row>
    <row r="154" spans="65:87" ht="14.25" customHeight="1">
      <c r="BM154" s="60"/>
      <c r="BN154" s="60"/>
      <c r="BO154" s="60"/>
      <c r="BQ154" s="60"/>
      <c r="BR154" s="60"/>
      <c r="BS154" s="60"/>
      <c r="BU154" s="60"/>
      <c r="BV154" s="60"/>
      <c r="BW154" s="60"/>
      <c r="CC154" s="55"/>
      <c r="CD154" s="55"/>
      <c r="CE154" s="55"/>
      <c r="CG154" s="55"/>
      <c r="CH154" s="55"/>
      <c r="CI154" s="55"/>
    </row>
    <row r="155" spans="65:87" ht="14.25" customHeight="1">
      <c r="BN155" s="60"/>
      <c r="BO155" s="60"/>
      <c r="BP155" s="60"/>
      <c r="BQ155" s="60"/>
      <c r="BR155" s="60"/>
      <c r="BS155" s="60"/>
      <c r="BU155" s="60"/>
      <c r="BV155" s="60"/>
      <c r="BW155" s="60"/>
      <c r="CC155" s="55"/>
      <c r="CD155" s="55"/>
      <c r="CE155" s="55"/>
      <c r="CG155" s="55"/>
      <c r="CH155" s="55"/>
      <c r="CI155" s="55"/>
    </row>
    <row r="156" spans="65:87" ht="14.25" customHeight="1">
      <c r="BQ156" s="60"/>
      <c r="BR156" s="60"/>
      <c r="BS156" s="60"/>
      <c r="BU156" s="60"/>
      <c r="BV156" s="60"/>
      <c r="BW156" s="60"/>
      <c r="CC156" s="55"/>
      <c r="CD156" s="55"/>
      <c r="CE156" s="55"/>
      <c r="CG156" s="55"/>
      <c r="CH156" s="55"/>
      <c r="CI156" s="55"/>
    </row>
    <row r="157" spans="65:87">
      <c r="BQ157" s="60"/>
      <c r="BR157" s="60"/>
      <c r="BS157" s="60"/>
      <c r="BU157" s="60"/>
      <c r="BV157" s="60"/>
      <c r="BW157" s="60"/>
      <c r="CC157" s="55"/>
      <c r="CD157" s="55"/>
      <c r="CE157" s="55"/>
      <c r="CG157" s="55"/>
      <c r="CH157" s="55"/>
      <c r="CI157" s="55"/>
    </row>
    <row r="158" spans="65:87" ht="14.25" customHeight="1">
      <c r="BQ158" s="60"/>
      <c r="BR158" s="60"/>
      <c r="BS158" s="60"/>
      <c r="BU158" s="60"/>
      <c r="BV158" s="60"/>
      <c r="BW158" s="60"/>
      <c r="CC158" s="55"/>
      <c r="CD158" s="55"/>
      <c r="CE158" s="55"/>
      <c r="CG158" s="55"/>
      <c r="CH158" s="55"/>
      <c r="CI158" s="55"/>
    </row>
    <row r="159" spans="65:87" ht="14.25" customHeight="1">
      <c r="BQ159" s="60"/>
      <c r="BR159" s="60"/>
      <c r="BS159" s="60"/>
      <c r="BU159" s="60"/>
      <c r="BV159" s="60"/>
      <c r="BW159" s="60"/>
      <c r="CC159" s="55"/>
      <c r="CD159" s="55"/>
      <c r="CE159" s="55"/>
      <c r="CG159" s="55"/>
      <c r="CH159" s="55"/>
      <c r="CI159" s="55"/>
    </row>
    <row r="160" spans="65:87" ht="14.25" customHeight="1">
      <c r="BQ160" s="60"/>
      <c r="BR160" s="60"/>
      <c r="BS160" s="60"/>
      <c r="BU160" s="60"/>
      <c r="BV160" s="60"/>
      <c r="BW160" s="60"/>
      <c r="CC160" s="55"/>
      <c r="CD160" s="55"/>
      <c r="CE160" s="55"/>
      <c r="CG160" s="55"/>
      <c r="CH160" s="55"/>
      <c r="CI160" s="55"/>
    </row>
    <row r="161" spans="69:87">
      <c r="BQ161" s="60"/>
      <c r="BR161" s="60"/>
      <c r="BS161" s="60"/>
      <c r="BU161" s="60"/>
      <c r="BV161" s="60"/>
      <c r="BW161" s="60"/>
      <c r="CC161" s="55"/>
      <c r="CD161" s="55"/>
      <c r="CE161" s="55"/>
      <c r="CG161" s="55"/>
      <c r="CH161" s="55"/>
      <c r="CI161" s="55"/>
    </row>
    <row r="162" spans="69:87" ht="14.25" customHeight="1">
      <c r="BQ162" s="60"/>
      <c r="BR162" s="60"/>
      <c r="BS162" s="60"/>
      <c r="BU162" s="60"/>
      <c r="BV162" s="60"/>
      <c r="BW162" s="60"/>
      <c r="CC162" s="55"/>
      <c r="CD162" s="55"/>
      <c r="CE162" s="55"/>
      <c r="CG162" s="55"/>
      <c r="CH162" s="55"/>
      <c r="CI162" s="55"/>
    </row>
    <row r="163" spans="69:87" ht="14.25" customHeight="1">
      <c r="BQ163" s="60"/>
      <c r="BR163" s="60"/>
      <c r="BS163" s="60"/>
      <c r="BU163" s="60"/>
      <c r="BV163" s="60"/>
      <c r="BW163" s="60"/>
      <c r="CC163" s="55"/>
      <c r="CD163" s="55"/>
      <c r="CE163" s="55"/>
      <c r="CG163" s="55"/>
      <c r="CH163" s="55"/>
      <c r="CI163" s="55"/>
    </row>
    <row r="164" spans="69:87" ht="14.25" customHeight="1">
      <c r="BQ164" s="60"/>
      <c r="BR164" s="60"/>
      <c r="BS164" s="60"/>
      <c r="BU164" s="60"/>
      <c r="BV164" s="60"/>
      <c r="BW164" s="60"/>
      <c r="CC164" s="55"/>
      <c r="CD164" s="55"/>
      <c r="CE164" s="55"/>
      <c r="CG164" s="55"/>
      <c r="CH164" s="55"/>
      <c r="CI164" s="55"/>
    </row>
    <row r="165" spans="69:87">
      <c r="BQ165" s="60"/>
      <c r="BR165" s="60"/>
      <c r="BS165" s="60"/>
      <c r="BU165" s="60"/>
      <c r="BV165" s="60"/>
      <c r="BW165" s="60"/>
      <c r="CC165" s="55"/>
      <c r="CD165" s="55"/>
      <c r="CE165" s="55"/>
      <c r="CG165" s="55"/>
      <c r="CH165" s="55"/>
      <c r="CI165" s="55"/>
    </row>
    <row r="166" spans="69:87" ht="14.25" customHeight="1">
      <c r="BQ166" s="60"/>
      <c r="BR166" s="60"/>
      <c r="BS166" s="60"/>
      <c r="BU166" s="60"/>
      <c r="BV166" s="60"/>
      <c r="BW166" s="60"/>
      <c r="CC166" s="55"/>
      <c r="CD166" s="55"/>
      <c r="CE166" s="55"/>
      <c r="CG166" s="55"/>
      <c r="CH166" s="55"/>
      <c r="CI166" s="55"/>
    </row>
    <row r="167" spans="69:87" ht="14.25" customHeight="1">
      <c r="BQ167" s="60"/>
      <c r="BR167" s="60"/>
      <c r="BS167" s="60"/>
      <c r="BU167" s="60"/>
      <c r="BV167" s="60"/>
      <c r="BW167" s="60"/>
      <c r="CC167" s="55"/>
      <c r="CD167" s="55"/>
      <c r="CE167" s="55"/>
      <c r="CG167" s="55"/>
      <c r="CH167" s="55"/>
      <c r="CI167" s="55"/>
    </row>
    <row r="168" spans="69:87" ht="14.25" customHeight="1">
      <c r="BQ168" s="60"/>
      <c r="BR168" s="60"/>
      <c r="BS168" s="60"/>
      <c r="BU168" s="60"/>
      <c r="BV168" s="60"/>
      <c r="BW168" s="60"/>
      <c r="CC168" s="55"/>
      <c r="CD168" s="55"/>
      <c r="CE168" s="55"/>
      <c r="CG168" s="55"/>
      <c r="CH168" s="55"/>
      <c r="CI168" s="55"/>
    </row>
    <row r="169" spans="69:87" ht="14.25" customHeight="1">
      <c r="BQ169" s="60"/>
      <c r="BR169" s="60"/>
      <c r="BS169" s="60"/>
      <c r="BU169" s="60"/>
      <c r="BV169" s="60"/>
      <c r="BW169" s="60"/>
      <c r="CC169" s="55"/>
      <c r="CD169" s="55"/>
      <c r="CE169" s="55"/>
      <c r="CG169" s="55"/>
      <c r="CH169" s="55"/>
      <c r="CI169" s="55"/>
    </row>
    <row r="170" spans="69:87" ht="14.25" customHeight="1">
      <c r="BQ170" s="60"/>
      <c r="BR170" s="60"/>
      <c r="BS170" s="60"/>
      <c r="BU170" s="60"/>
      <c r="BV170" s="60"/>
      <c r="BW170" s="60"/>
      <c r="CC170" s="55"/>
      <c r="CD170" s="55"/>
      <c r="CE170" s="55"/>
      <c r="CG170" s="55"/>
      <c r="CH170" s="55"/>
      <c r="CI170" s="55"/>
    </row>
    <row r="171" spans="69:87" ht="14.25" customHeight="1">
      <c r="BQ171" s="60"/>
      <c r="BR171" s="60"/>
      <c r="BS171" s="60"/>
      <c r="BU171" s="60"/>
      <c r="BV171" s="60"/>
      <c r="BW171" s="60"/>
      <c r="CC171" s="55"/>
      <c r="CD171" s="55"/>
      <c r="CE171" s="55"/>
      <c r="CG171" s="55"/>
      <c r="CH171" s="55"/>
      <c r="CI171" s="55"/>
    </row>
    <row r="172" spans="69:87">
      <c r="BQ172" s="60"/>
      <c r="BR172" s="60"/>
      <c r="BS172" s="60"/>
      <c r="BU172" s="60"/>
      <c r="BV172" s="60"/>
      <c r="BW172" s="60"/>
      <c r="CC172" s="55"/>
      <c r="CD172" s="55"/>
      <c r="CE172" s="55"/>
      <c r="CG172" s="55"/>
      <c r="CH172" s="55"/>
      <c r="CI172" s="55"/>
    </row>
    <row r="173" spans="69:87" ht="14.25" customHeight="1">
      <c r="BQ173" s="60"/>
      <c r="BR173" s="60"/>
      <c r="BS173" s="60"/>
      <c r="BU173" s="60"/>
      <c r="BV173" s="60"/>
      <c r="BW173" s="60"/>
      <c r="CC173" s="55"/>
      <c r="CD173" s="55"/>
      <c r="CE173" s="55"/>
      <c r="CG173" s="55"/>
      <c r="CH173" s="55"/>
      <c r="CI173" s="55"/>
    </row>
    <row r="174" spans="69:87" ht="14.25" customHeight="1">
      <c r="BQ174" s="60"/>
      <c r="BR174" s="60"/>
      <c r="BS174" s="60"/>
      <c r="BU174" s="60"/>
      <c r="BV174" s="60"/>
      <c r="BW174" s="60"/>
      <c r="CC174" s="55"/>
      <c r="CD174" s="55"/>
      <c r="CE174" s="55"/>
      <c r="CG174" s="55"/>
      <c r="CH174" s="55"/>
      <c r="CI174" s="55"/>
    </row>
    <row r="175" spans="69:87" ht="14.25" customHeight="1">
      <c r="BQ175" s="60"/>
      <c r="BR175" s="60"/>
      <c r="BS175" s="60"/>
      <c r="BU175" s="60"/>
      <c r="BV175" s="60"/>
      <c r="BW175" s="60"/>
      <c r="CC175" s="55"/>
      <c r="CD175" s="55"/>
      <c r="CE175" s="55"/>
      <c r="CG175" s="55"/>
      <c r="CH175" s="55"/>
      <c r="CI175" s="55"/>
    </row>
    <row r="176" spans="69:87">
      <c r="BQ176" s="60"/>
      <c r="BR176" s="60"/>
      <c r="BS176" s="60"/>
      <c r="BU176" s="60"/>
      <c r="BV176" s="60"/>
      <c r="BW176" s="60"/>
      <c r="CC176" s="55"/>
      <c r="CD176" s="55"/>
      <c r="CE176" s="55"/>
      <c r="CG176" s="55"/>
      <c r="CH176" s="55"/>
      <c r="CI176" s="55"/>
    </row>
    <row r="177" spans="70:87" ht="14.25" customHeight="1">
      <c r="BR177" s="60"/>
      <c r="BS177" s="60"/>
      <c r="BU177" s="60"/>
      <c r="BV177" s="60"/>
      <c r="BW177" s="60"/>
      <c r="CC177" s="55"/>
      <c r="CD177" s="55"/>
      <c r="CE177" s="55"/>
      <c r="CG177" s="55"/>
      <c r="CH177" s="55"/>
      <c r="CI177" s="55"/>
    </row>
    <row r="178" spans="70:87" ht="14.25" customHeight="1">
      <c r="BU178" s="60"/>
      <c r="BV178" s="60"/>
      <c r="BW178" s="60"/>
      <c r="CC178" s="55"/>
      <c r="CD178" s="55"/>
      <c r="CE178" s="55"/>
      <c r="CG178" s="55"/>
      <c r="CH178" s="55"/>
      <c r="CI178" s="55"/>
    </row>
    <row r="179" spans="70:87" ht="14.25" customHeight="1">
      <c r="BU179" s="60"/>
      <c r="BV179" s="60"/>
      <c r="BW179" s="60"/>
      <c r="CC179" s="55"/>
      <c r="CD179" s="55"/>
      <c r="CE179" s="55"/>
      <c r="CG179" s="55"/>
      <c r="CH179" s="55"/>
      <c r="CI179" s="55"/>
    </row>
    <row r="180" spans="70:87">
      <c r="BU180" s="60"/>
      <c r="BV180" s="60"/>
      <c r="BW180" s="60"/>
      <c r="CC180" s="55"/>
      <c r="CD180" s="55"/>
      <c r="CE180" s="55"/>
      <c r="CG180" s="55"/>
      <c r="CH180" s="55"/>
      <c r="CI180" s="55"/>
    </row>
    <row r="181" spans="70:87" ht="14.25" customHeight="1">
      <c r="BU181" s="60"/>
      <c r="BV181" s="60"/>
      <c r="BW181" s="60"/>
      <c r="CC181" s="55"/>
      <c r="CD181" s="55"/>
      <c r="CE181" s="55"/>
      <c r="CG181" s="55"/>
      <c r="CH181" s="55"/>
      <c r="CI181" s="55"/>
    </row>
    <row r="182" spans="70:87" ht="14.25" customHeight="1">
      <c r="BU182" s="60"/>
      <c r="BV182" s="60"/>
      <c r="BW182" s="60"/>
      <c r="CC182" s="55"/>
      <c r="CD182" s="55"/>
      <c r="CE182" s="55"/>
      <c r="CG182" s="55"/>
      <c r="CH182" s="55"/>
      <c r="CI182" s="55"/>
    </row>
    <row r="183" spans="70:87" ht="14.25" customHeight="1">
      <c r="BU183" s="60"/>
      <c r="BV183" s="60"/>
      <c r="BW183" s="60"/>
      <c r="CC183" s="55"/>
      <c r="CD183" s="55"/>
      <c r="CE183" s="55"/>
      <c r="CG183" s="55"/>
      <c r="CH183" s="55"/>
      <c r="CI183" s="55"/>
    </row>
    <row r="184" spans="70:87">
      <c r="BU184" s="60"/>
      <c r="BV184" s="60"/>
      <c r="BW184" s="60"/>
      <c r="CC184" s="55"/>
      <c r="CD184" s="55"/>
      <c r="CE184" s="55"/>
      <c r="CG184" s="55"/>
      <c r="CH184" s="55"/>
      <c r="CI184" s="55"/>
    </row>
    <row r="185" spans="70:87" ht="14.25" customHeight="1">
      <c r="BU185" s="60"/>
      <c r="BV185" s="60"/>
      <c r="BW185" s="60"/>
      <c r="CC185" s="55"/>
      <c r="CD185" s="55"/>
      <c r="CE185" s="55"/>
    </row>
    <row r="186" spans="70:87" ht="14.25" customHeight="1">
      <c r="BU186" s="60"/>
      <c r="BV186" s="60"/>
      <c r="BW186" s="60"/>
      <c r="CC186" s="55"/>
      <c r="CD186" s="55"/>
      <c r="CE186" s="55"/>
    </row>
    <row r="187" spans="70:87" ht="14.25" customHeight="1">
      <c r="BU187" s="60"/>
      <c r="BV187" s="60"/>
      <c r="BW187" s="60"/>
      <c r="CC187" s="55"/>
      <c r="CD187" s="55"/>
      <c r="CE187" s="55"/>
    </row>
    <row r="188" spans="70:87">
      <c r="BU188" s="60"/>
      <c r="BV188" s="60"/>
      <c r="BW188" s="60"/>
      <c r="CC188" s="55"/>
      <c r="CD188" s="55"/>
      <c r="CE188" s="55"/>
    </row>
    <row r="189" spans="70:87" ht="14.25" customHeight="1">
      <c r="BU189" s="60"/>
      <c r="BV189" s="60"/>
      <c r="BW189" s="60"/>
      <c r="CC189" s="55"/>
      <c r="CD189" s="55"/>
      <c r="CE189" s="55"/>
    </row>
    <row r="190" spans="70:87" ht="14.25" customHeight="1">
      <c r="BU190" s="60"/>
      <c r="BV190" s="60"/>
      <c r="BW190" s="60"/>
      <c r="CC190" s="55"/>
      <c r="CD190" s="55"/>
      <c r="CE190" s="55"/>
    </row>
    <row r="191" spans="70:87" ht="14.25" customHeight="1">
      <c r="BU191" s="60"/>
      <c r="BV191" s="60"/>
      <c r="BW191" s="60"/>
      <c r="CC191" s="55"/>
      <c r="CD191" s="55"/>
      <c r="CE191" s="55"/>
    </row>
    <row r="192" spans="70:87">
      <c r="BU192" s="60"/>
      <c r="BV192" s="60"/>
      <c r="BW192" s="60"/>
      <c r="CC192" s="55"/>
      <c r="CD192" s="55"/>
      <c r="CE192" s="55"/>
    </row>
    <row r="193" spans="73:76" ht="14.25" customHeight="1">
      <c r="BU193" s="60"/>
      <c r="BV193" s="60"/>
      <c r="BW193" s="60"/>
    </row>
    <row r="194" spans="73:76" ht="14.25" customHeight="1">
      <c r="BU194" s="60"/>
      <c r="BV194" s="60"/>
      <c r="BW194" s="60"/>
    </row>
    <row r="195" spans="73:76">
      <c r="BU195" s="60"/>
      <c r="BV195" s="60"/>
      <c r="BW195" s="60"/>
      <c r="BX195" s="60"/>
    </row>
    <row r="196" spans="73:76">
      <c r="BV196" s="60"/>
      <c r="BW196" s="60"/>
    </row>
  </sheetData>
  <mergeCells count="222">
    <mergeCell ref="FU1:FW1"/>
    <mergeCell ref="EC1:EE1"/>
    <mergeCell ref="EK1:EM1"/>
    <mergeCell ref="FQ1:FS1"/>
    <mergeCell ref="DY1:EA1"/>
    <mergeCell ref="ES1:EU1"/>
    <mergeCell ref="CC1:CE1"/>
    <mergeCell ref="CO1:CQ1"/>
    <mergeCell ref="EO1:EQ1"/>
    <mergeCell ref="FA1:FC1"/>
    <mergeCell ref="DQ1:DS1"/>
    <mergeCell ref="EW1:EY1"/>
    <mergeCell ref="CW1:CY1"/>
    <mergeCell ref="DA1:DC1"/>
    <mergeCell ref="DE1:DG1"/>
    <mergeCell ref="DM1:DO1"/>
    <mergeCell ref="EG1:EI1"/>
    <mergeCell ref="CG1:CI1"/>
    <mergeCell ref="A1:C1"/>
    <mergeCell ref="I1:K1"/>
    <mergeCell ref="Q1:S1"/>
    <mergeCell ref="U1:W1"/>
    <mergeCell ref="BM1:BO1"/>
    <mergeCell ref="AG1:AI1"/>
    <mergeCell ref="AK1:AM1"/>
    <mergeCell ref="AO1:AQ1"/>
    <mergeCell ref="AS1:AU1"/>
    <mergeCell ref="AW1:AY1"/>
    <mergeCell ref="BI1:BK1"/>
    <mergeCell ref="BU1:BW1"/>
    <mergeCell ref="CK1:CM1"/>
    <mergeCell ref="BQ1:BS1"/>
    <mergeCell ref="DI1:DK1"/>
    <mergeCell ref="DU1:DW1"/>
    <mergeCell ref="CS1:CU1"/>
    <mergeCell ref="Q10:R10"/>
    <mergeCell ref="U10:V10"/>
    <mergeCell ref="I3:J3"/>
    <mergeCell ref="BA1:BC1"/>
    <mergeCell ref="BE1:BG1"/>
    <mergeCell ref="Q3:R3"/>
    <mergeCell ref="AG3:AH3"/>
    <mergeCell ref="AW3:AX3"/>
    <mergeCell ref="BA3:BB3"/>
    <mergeCell ref="M1:O1"/>
    <mergeCell ref="BQ3:BR3"/>
    <mergeCell ref="U3:V3"/>
    <mergeCell ref="AO3:AP3"/>
    <mergeCell ref="AS3:AT3"/>
    <mergeCell ref="BE3:BF3"/>
    <mergeCell ref="BI3:BJ3"/>
    <mergeCell ref="CG3:CH3"/>
    <mergeCell ref="BM3:BN3"/>
    <mergeCell ref="A96:B96"/>
    <mergeCell ref="A92:B92"/>
    <mergeCell ref="E104:F104"/>
    <mergeCell ref="A88:B88"/>
    <mergeCell ref="A90:B90"/>
    <mergeCell ref="A100:B100"/>
    <mergeCell ref="A94:B94"/>
    <mergeCell ref="CC3:CD3"/>
    <mergeCell ref="CG11:CH11"/>
    <mergeCell ref="BY3:BZ3"/>
    <mergeCell ref="A72:B72"/>
    <mergeCell ref="A3:B3"/>
    <mergeCell ref="M60:N60"/>
    <mergeCell ref="M67:N67"/>
    <mergeCell ref="Y3:Z3"/>
    <mergeCell ref="BA41:BB41"/>
    <mergeCell ref="U29:V29"/>
    <mergeCell ref="U32:V32"/>
    <mergeCell ref="U36:V36"/>
    <mergeCell ref="AG41:AH41"/>
    <mergeCell ref="AK41:AL41"/>
    <mergeCell ref="AO41:AP41"/>
    <mergeCell ref="I66:J66"/>
    <mergeCell ref="A20:B20"/>
    <mergeCell ref="E119:F119"/>
    <mergeCell ref="E121:F121"/>
    <mergeCell ref="E107:F107"/>
    <mergeCell ref="E109:F109"/>
    <mergeCell ref="A98:B98"/>
    <mergeCell ref="A102:B102"/>
    <mergeCell ref="A106:B106"/>
    <mergeCell ref="A104:B104"/>
    <mergeCell ref="E117:F117"/>
    <mergeCell ref="E111:F111"/>
    <mergeCell ref="E113:F113"/>
    <mergeCell ref="E115:F115"/>
    <mergeCell ref="E98:F98"/>
    <mergeCell ref="BQ38:BR38"/>
    <mergeCell ref="BM41:BN41"/>
    <mergeCell ref="BY41:BZ41"/>
    <mergeCell ref="BQ42:BR42"/>
    <mergeCell ref="I79:J79"/>
    <mergeCell ref="M80:N80"/>
    <mergeCell ref="M84:N84"/>
    <mergeCell ref="A79:B79"/>
    <mergeCell ref="U34:V34"/>
    <mergeCell ref="M39:N39"/>
    <mergeCell ref="I38:J38"/>
    <mergeCell ref="I75:J75"/>
    <mergeCell ref="I72:J72"/>
    <mergeCell ref="M4:N4"/>
    <mergeCell ref="M76:N76"/>
    <mergeCell ref="M86:N86"/>
    <mergeCell ref="M82:N82"/>
    <mergeCell ref="A85:B85"/>
    <mergeCell ref="BY1:CA1"/>
    <mergeCell ref="BE37:BF37"/>
    <mergeCell ref="BU39:BV39"/>
    <mergeCell ref="Q55:R55"/>
    <mergeCell ref="Q57:R57"/>
    <mergeCell ref="Q53:R53"/>
    <mergeCell ref="BM37:BN37"/>
    <mergeCell ref="BI37:BJ37"/>
    <mergeCell ref="AS41:AT41"/>
    <mergeCell ref="AW41:AX41"/>
    <mergeCell ref="E1:G1"/>
    <mergeCell ref="E4:F4"/>
    <mergeCell ref="E39:F39"/>
    <mergeCell ref="BU52:BV52"/>
    <mergeCell ref="AC3:AD3"/>
    <mergeCell ref="Y1:AA1"/>
    <mergeCell ref="Y7:Z7"/>
    <mergeCell ref="Y19:Z19"/>
    <mergeCell ref="BU4:BV4"/>
    <mergeCell ref="AC23:AD23"/>
    <mergeCell ref="M73:N73"/>
    <mergeCell ref="M78:N78"/>
    <mergeCell ref="Q51:R51"/>
    <mergeCell ref="Q48:R48"/>
    <mergeCell ref="E91:F91"/>
    <mergeCell ref="I83:J83"/>
    <mergeCell ref="I85:J85"/>
    <mergeCell ref="I77:J77"/>
    <mergeCell ref="I81:J81"/>
    <mergeCell ref="I87:J87"/>
    <mergeCell ref="I59:J59"/>
    <mergeCell ref="FY3:FZ3"/>
    <mergeCell ref="GC1:GE1"/>
    <mergeCell ref="GC3:GD3"/>
    <mergeCell ref="FY1:GA1"/>
    <mergeCell ref="AC1:AE1"/>
    <mergeCell ref="AC11:AD11"/>
    <mergeCell ref="FI1:FK1"/>
    <mergeCell ref="AK3:AL3"/>
    <mergeCell ref="FM1:FO1"/>
    <mergeCell ref="FE1:FG1"/>
    <mergeCell ref="CW3:CX3"/>
    <mergeCell ref="DE3:DF3"/>
    <mergeCell ref="EC3:ED3"/>
    <mergeCell ref="EO3:EP3"/>
    <mergeCell ref="FA3:FB3"/>
    <mergeCell ref="FU3:FV3"/>
    <mergeCell ref="FE3:FF3"/>
    <mergeCell ref="DI3:DJ3"/>
    <mergeCell ref="EG3:EH3"/>
    <mergeCell ref="DA4:DB4"/>
    <mergeCell ref="DY4:DZ4"/>
    <mergeCell ref="BQ5:BR5"/>
    <mergeCell ref="CK5:CL5"/>
    <mergeCell ref="CW5:CX5"/>
    <mergeCell ref="DE5:DF5"/>
    <mergeCell ref="ES5:ET5"/>
    <mergeCell ref="EK6:EL6"/>
    <mergeCell ref="CS7:CT7"/>
    <mergeCell ref="FI9:FJ9"/>
    <mergeCell ref="EO10:EP10"/>
    <mergeCell ref="GC10:GD10"/>
    <mergeCell ref="FM9:FN9"/>
    <mergeCell ref="CC11:CD11"/>
    <mergeCell ref="FE11:FF11"/>
    <mergeCell ref="EO13:EP13"/>
    <mergeCell ref="FI13:FJ13"/>
    <mergeCell ref="GC13:GD13"/>
    <mergeCell ref="CG14:CH14"/>
    <mergeCell ref="EO15:EP15"/>
    <mergeCell ref="FE15:FF15"/>
    <mergeCell ref="FI16:FJ16"/>
    <mergeCell ref="DM17:DN17"/>
    <mergeCell ref="EW17:EX17"/>
    <mergeCell ref="FE18:FF18"/>
    <mergeCell ref="FI18:FJ18"/>
    <mergeCell ref="CC19:CD19"/>
    <mergeCell ref="BY20:BZ20"/>
    <mergeCell ref="BQ22:BR22"/>
    <mergeCell ref="CC22:CD22"/>
    <mergeCell ref="EW24:EX24"/>
    <mergeCell ref="EW27:EX27"/>
    <mergeCell ref="BY28:BZ28"/>
    <mergeCell ref="FA30:FB30"/>
    <mergeCell ref="BQ33:BR33"/>
    <mergeCell ref="FA34:FB34"/>
    <mergeCell ref="BQ36:BR36"/>
    <mergeCell ref="BY36:BZ36"/>
    <mergeCell ref="BQ28:BR28"/>
    <mergeCell ref="DI37:DJ37"/>
    <mergeCell ref="EC37:ED37"/>
    <mergeCell ref="FA37:FB37"/>
    <mergeCell ref="DA38:DB38"/>
    <mergeCell ref="DY38:DZ38"/>
    <mergeCell ref="EG37:EH37"/>
    <mergeCell ref="CK39:CL39"/>
    <mergeCell ref="CW39:CX39"/>
    <mergeCell ref="DE39:DF39"/>
    <mergeCell ref="ES39:ET39"/>
    <mergeCell ref="FA39:FB39"/>
    <mergeCell ref="DY40:DZ40"/>
    <mergeCell ref="EK40:EL40"/>
    <mergeCell ref="CS43:CT43"/>
    <mergeCell ref="BY44:BZ44"/>
    <mergeCell ref="BM46:BN46"/>
    <mergeCell ref="BY46:BZ46"/>
    <mergeCell ref="BU61:BV61"/>
    <mergeCell ref="BU71:BV71"/>
    <mergeCell ref="BU47:BV47"/>
    <mergeCell ref="BY50:BZ50"/>
    <mergeCell ref="DM51:DN51"/>
    <mergeCell ref="BQ52:BR52"/>
    <mergeCell ref="BU55:BV55"/>
    <mergeCell ref="BU57:BV57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/>
  <dimension ref="A1:Y56"/>
  <sheetViews>
    <sheetView topLeftCell="A43" workbookViewId="0">
      <selection activeCell="R1" sqref="R1"/>
    </sheetView>
  </sheetViews>
  <sheetFormatPr defaultRowHeight="13.2"/>
  <cols>
    <col min="1" max="1" width="23.5546875" bestFit="1" customWidth="1"/>
    <col min="2" max="2" width="44" bestFit="1" customWidth="1"/>
    <col min="3" max="3" width="27" bestFit="1" customWidth="1"/>
    <col min="4" max="4" width="38.109375" bestFit="1" customWidth="1"/>
    <col min="5" max="5" width="22.6640625" bestFit="1" customWidth="1"/>
    <col min="10" max="10" width="10.6640625" bestFit="1" customWidth="1"/>
    <col min="11" max="11" width="11.5546875" bestFit="1" customWidth="1"/>
    <col min="12" max="12" width="5.88671875" bestFit="1" customWidth="1"/>
    <col min="13" max="13" width="17" bestFit="1" customWidth="1"/>
    <col min="19" max="19" width="38.109375" bestFit="1" customWidth="1"/>
  </cols>
  <sheetData>
    <row r="1" spans="1:25" ht="14.4">
      <c r="A1" s="91" t="s">
        <v>670</v>
      </c>
      <c r="C1" s="72" t="s">
        <v>845</v>
      </c>
      <c r="E1" s="65" t="s">
        <v>423</v>
      </c>
      <c r="F1" s="58" t="s">
        <v>730</v>
      </c>
      <c r="J1" s="58" t="s">
        <v>741</v>
      </c>
      <c r="R1" s="74" t="s">
        <v>846</v>
      </c>
      <c r="S1" s="58" t="s">
        <v>830</v>
      </c>
      <c r="Y1" s="55" t="s">
        <v>708</v>
      </c>
    </row>
    <row r="2" spans="1:25" ht="14.4">
      <c r="A2" s="91" t="s">
        <v>666</v>
      </c>
      <c r="C2" s="72" t="s">
        <v>844</v>
      </c>
      <c r="E2" s="65" t="s">
        <v>422</v>
      </c>
      <c r="F2" s="58" t="s">
        <v>13</v>
      </c>
      <c r="J2" s="58" t="s">
        <v>742</v>
      </c>
      <c r="S2" s="58" t="s">
        <v>740</v>
      </c>
      <c r="Y2" s="55" t="s">
        <v>695</v>
      </c>
    </row>
    <row r="3" spans="1:25" ht="14.4">
      <c r="A3" s="91" t="s">
        <v>72</v>
      </c>
      <c r="E3" s="65" t="s">
        <v>421</v>
      </c>
      <c r="F3" s="58" t="s">
        <v>786</v>
      </c>
      <c r="J3" s="58" t="s">
        <v>743</v>
      </c>
      <c r="S3" s="58" t="s">
        <v>585</v>
      </c>
      <c r="Y3" s="55" t="s">
        <v>715</v>
      </c>
    </row>
    <row r="4" spans="1:25" ht="14.4">
      <c r="A4" s="91" t="s">
        <v>662</v>
      </c>
      <c r="E4" s="65" t="s">
        <v>71</v>
      </c>
      <c r="J4" s="58" t="s">
        <v>744</v>
      </c>
      <c r="Y4" s="55" t="s">
        <v>702</v>
      </c>
    </row>
    <row r="5" spans="1:25" ht="14.4">
      <c r="A5" s="91" t="s">
        <v>658</v>
      </c>
      <c r="E5" s="65" t="s">
        <v>420</v>
      </c>
      <c r="J5" s="58" t="s">
        <v>745</v>
      </c>
      <c r="Y5" s="55" t="s">
        <v>716</v>
      </c>
    </row>
    <row r="6" spans="1:25" ht="14.4">
      <c r="A6" s="91" t="s">
        <v>15</v>
      </c>
      <c r="E6" s="65" t="s">
        <v>419</v>
      </c>
      <c r="J6" s="58" t="s">
        <v>746</v>
      </c>
      <c r="Y6" s="55" t="s">
        <v>703</v>
      </c>
    </row>
    <row r="7" spans="1:25" ht="14.4">
      <c r="A7" s="91" t="s">
        <v>649</v>
      </c>
      <c r="Y7" s="55" t="s">
        <v>717</v>
      </c>
    </row>
    <row r="8" spans="1:25" ht="14.4">
      <c r="A8" s="91" t="s">
        <v>16</v>
      </c>
      <c r="Y8" s="55" t="s">
        <v>693</v>
      </c>
    </row>
    <row r="9" spans="1:25" ht="14.4">
      <c r="A9" s="91" t="s">
        <v>73</v>
      </c>
      <c r="Y9" s="55" t="s">
        <v>718</v>
      </c>
    </row>
    <row r="10" spans="1:25" ht="14.4">
      <c r="A10" s="91" t="s">
        <v>17</v>
      </c>
      <c r="Y10" s="55" t="s">
        <v>694</v>
      </c>
    </row>
    <row r="11" spans="1:25" ht="14.4">
      <c r="A11" s="91" t="s">
        <v>14</v>
      </c>
      <c r="Y11" s="55" t="s">
        <v>719</v>
      </c>
    </row>
    <row r="12" spans="1:25" ht="14.4">
      <c r="A12" s="91" t="s">
        <v>74</v>
      </c>
      <c r="Y12" s="55" t="s">
        <v>704</v>
      </c>
    </row>
    <row r="13" spans="1:25" ht="14.4">
      <c r="A13" s="91" t="s">
        <v>300</v>
      </c>
      <c r="Y13" s="55" t="s">
        <v>720</v>
      </c>
    </row>
    <row r="14" spans="1:25" ht="14.4">
      <c r="A14" s="91" t="s">
        <v>298</v>
      </c>
      <c r="Y14" s="55" t="s">
        <v>705</v>
      </c>
    </row>
    <row r="15" spans="1:25" ht="14.4">
      <c r="A15" s="91" t="s">
        <v>296</v>
      </c>
      <c r="Y15" s="55" t="s">
        <v>721</v>
      </c>
    </row>
    <row r="16" spans="1:25" ht="14.4">
      <c r="A16" s="91" t="s">
        <v>892</v>
      </c>
      <c r="Y16" s="55" t="s">
        <v>706</v>
      </c>
    </row>
    <row r="17" spans="1:25" ht="14.4">
      <c r="A17" s="91" t="s">
        <v>292</v>
      </c>
      <c r="Y17" s="55" t="s">
        <v>722</v>
      </c>
    </row>
    <row r="18" spans="1:25" ht="14.4">
      <c r="A18" s="91" t="s">
        <v>290</v>
      </c>
      <c r="Y18" s="55" t="s">
        <v>707</v>
      </c>
    </row>
    <row r="19" spans="1:25" ht="14.4">
      <c r="A19" s="91" t="s">
        <v>288</v>
      </c>
      <c r="Y19" s="55" t="s">
        <v>709</v>
      </c>
    </row>
    <row r="20" spans="1:25" ht="14.4">
      <c r="A20" s="91" t="s">
        <v>896</v>
      </c>
      <c r="Y20" s="55" t="s">
        <v>696</v>
      </c>
    </row>
    <row r="21" spans="1:25" ht="14.4">
      <c r="A21" s="91" t="s">
        <v>618</v>
      </c>
      <c r="Y21" s="55" t="s">
        <v>710</v>
      </c>
    </row>
    <row r="22" spans="1:25" ht="14.4">
      <c r="A22" s="91" t="s">
        <v>613</v>
      </c>
      <c r="Y22" s="55" t="s">
        <v>697</v>
      </c>
    </row>
    <row r="23" spans="1:25" ht="14.4">
      <c r="A23" s="91" t="s">
        <v>608</v>
      </c>
      <c r="Y23" s="55" t="s">
        <v>711</v>
      </c>
    </row>
    <row r="24" spans="1:25" ht="14.4">
      <c r="A24" s="91" t="s">
        <v>272</v>
      </c>
      <c r="Y24" s="55" t="s">
        <v>698</v>
      </c>
    </row>
    <row r="25" spans="1:25" ht="14.4">
      <c r="A25" s="91" t="s">
        <v>601</v>
      </c>
      <c r="Y25" s="55" t="s">
        <v>712</v>
      </c>
    </row>
    <row r="26" spans="1:25" ht="14.4">
      <c r="A26" s="91" t="s">
        <v>75</v>
      </c>
      <c r="Y26" s="55" t="s">
        <v>699</v>
      </c>
    </row>
    <row r="27" spans="1:25" ht="14.4">
      <c r="A27" s="91" t="s">
        <v>43</v>
      </c>
      <c r="Y27" s="55" t="s">
        <v>713</v>
      </c>
    </row>
    <row r="28" spans="1:25" ht="14.4">
      <c r="A28" s="91" t="s">
        <v>436</v>
      </c>
      <c r="Y28" s="55" t="s">
        <v>700</v>
      </c>
    </row>
    <row r="29" spans="1:25" ht="14.4">
      <c r="A29" s="91" t="s">
        <v>44</v>
      </c>
      <c r="Y29" s="55" t="s">
        <v>714</v>
      </c>
    </row>
    <row r="30" spans="1:25" ht="14.4">
      <c r="A30" s="91" t="s">
        <v>118</v>
      </c>
      <c r="Y30" s="55" t="s">
        <v>701</v>
      </c>
    </row>
    <row r="31" spans="1:25" ht="14.4">
      <c r="A31" s="91" t="s">
        <v>564</v>
      </c>
      <c r="Y31" s="55" t="s">
        <v>560</v>
      </c>
    </row>
    <row r="32" spans="1:25" ht="14.4">
      <c r="A32" s="91" t="s">
        <v>548</v>
      </c>
      <c r="Y32" s="58" t="s">
        <v>542</v>
      </c>
    </row>
    <row r="33" spans="1:25" ht="14.4">
      <c r="A33" s="91" t="s">
        <v>544</v>
      </c>
      <c r="Y33" s="58" t="s">
        <v>508</v>
      </c>
    </row>
    <row r="34" spans="1:25" ht="14.4">
      <c r="A34" s="91" t="s">
        <v>431</v>
      </c>
    </row>
    <row r="35" spans="1:25" ht="14.4">
      <c r="A35" s="91" t="s">
        <v>237</v>
      </c>
    </row>
    <row r="36" spans="1:25" ht="14.4">
      <c r="A36" s="91" t="s">
        <v>604</v>
      </c>
    </row>
    <row r="37" spans="1:25" ht="14.4">
      <c r="A37" s="134" t="s">
        <v>1034</v>
      </c>
    </row>
    <row r="38" spans="1:25" ht="14.4">
      <c r="A38" s="134" t="s">
        <v>1032</v>
      </c>
    </row>
    <row r="39" spans="1:25" ht="14.4">
      <c r="A39" s="134" t="s">
        <v>1036</v>
      </c>
    </row>
    <row r="40" spans="1:25" ht="14.4">
      <c r="A40" s="134" t="s">
        <v>1038</v>
      </c>
    </row>
    <row r="41" spans="1:25" ht="14.4">
      <c r="A41" s="91" t="s">
        <v>36</v>
      </c>
    </row>
    <row r="42" spans="1:25" ht="14.4">
      <c r="A42" s="91" t="s">
        <v>33</v>
      </c>
    </row>
    <row r="43" spans="1:25" ht="14.4">
      <c r="A43" s="91" t="s">
        <v>31</v>
      </c>
    </row>
    <row r="44" spans="1:25" ht="14.4">
      <c r="A44" s="91" t="s">
        <v>32</v>
      </c>
    </row>
    <row r="45" spans="1:25" ht="14.4">
      <c r="A45" s="91" t="s">
        <v>350</v>
      </c>
    </row>
    <row r="46" spans="1:25" ht="14.4">
      <c r="A46" s="91" t="s">
        <v>34</v>
      </c>
    </row>
    <row r="47" spans="1:25" ht="14.4">
      <c r="A47" s="91" t="s">
        <v>38</v>
      </c>
    </row>
    <row r="48" spans="1:25" ht="14.4">
      <c r="A48" s="91" t="s">
        <v>37</v>
      </c>
    </row>
    <row r="49" spans="1:1" ht="14.4">
      <c r="A49" s="91" t="s">
        <v>330</v>
      </c>
    </row>
    <row r="50" spans="1:1" ht="14.4">
      <c r="A50" s="91" t="s">
        <v>76</v>
      </c>
    </row>
    <row r="51" spans="1:1" ht="14.4">
      <c r="A51" s="91" t="s">
        <v>305</v>
      </c>
    </row>
    <row r="52" spans="1:1" ht="14.4">
      <c r="A52" s="121" t="s">
        <v>1058</v>
      </c>
    </row>
    <row r="53" spans="1:1" ht="14.4">
      <c r="A53" s="91" t="s">
        <v>255</v>
      </c>
    </row>
    <row r="54" spans="1:1" ht="14.4">
      <c r="A54" s="91" t="s">
        <v>252</v>
      </c>
    </row>
    <row r="55" spans="1:1" ht="14.4">
      <c r="A55" s="91" t="s">
        <v>246</v>
      </c>
    </row>
    <row r="56" spans="1:1" ht="14.4">
      <c r="A56" s="91" t="s">
        <v>219</v>
      </c>
    </row>
  </sheetData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/>
  <dimension ref="A1:AB38"/>
  <sheetViews>
    <sheetView showGridLines="0" tabSelected="1" topLeftCell="T2" zoomScale="90" zoomScaleNormal="90" workbookViewId="0">
      <selection activeCell="X20" sqref="X20"/>
    </sheetView>
  </sheetViews>
  <sheetFormatPr defaultColWidth="9.44140625" defaultRowHeight="13.5" customHeight="1"/>
  <cols>
    <col min="1" max="1" width="9.44140625" style="93" hidden="1" customWidth="1"/>
    <col min="2" max="2" width="9.44140625" style="94" hidden="1" customWidth="1"/>
    <col min="3" max="5" width="9.44140625" style="93" hidden="1" customWidth="1"/>
    <col min="6" max="6" width="11.44140625" style="94" hidden="1" customWidth="1"/>
    <col min="7" max="7" width="14.6640625" style="94" hidden="1" customWidth="1"/>
    <col min="8" max="8" width="10.88671875" style="94" hidden="1" customWidth="1"/>
    <col min="9" max="9" width="14.109375" style="94" hidden="1" customWidth="1"/>
    <col min="10" max="10" width="11.44140625" style="115" hidden="1" customWidth="1"/>
    <col min="11" max="11" width="14.6640625" style="95" hidden="1" customWidth="1"/>
    <col min="12" max="12" width="6.44140625" style="95" hidden="1" customWidth="1"/>
    <col min="13" max="13" width="14.109375" style="95" hidden="1" customWidth="1"/>
    <col min="14" max="14" width="6.44140625" style="95" hidden="1" customWidth="1"/>
    <col min="15" max="15" width="11.44140625" style="95" hidden="1" customWidth="1"/>
    <col min="16" max="16" width="9.44140625" style="95" hidden="1" customWidth="1"/>
    <col min="17" max="17" width="9.44140625" style="98" hidden="1" customWidth="1"/>
    <col min="18" max="18" width="8.88671875" style="95" hidden="1" customWidth="1"/>
    <col min="19" max="19" width="7.5546875" style="95" hidden="1" customWidth="1"/>
    <col min="20" max="20" width="38" style="97" customWidth="1"/>
    <col min="21" max="21" width="24.5546875" style="113" bestFit="1" customWidth="1"/>
    <col min="22" max="22" width="21.6640625" style="111" bestFit="1" customWidth="1"/>
    <col min="23" max="23" width="10" style="109" bestFit="1" customWidth="1"/>
    <col min="24" max="24" width="9.44140625" style="111" customWidth="1"/>
    <col min="25" max="25" width="22.5546875" style="109" bestFit="1" customWidth="1"/>
    <col min="26" max="26" width="10" style="109" bestFit="1" customWidth="1"/>
    <col min="27" max="16384" width="9.44140625" style="97"/>
  </cols>
  <sheetData>
    <row r="1" spans="1:26" ht="13.5" hidden="1" customHeight="1">
      <c r="A1" s="93" t="s">
        <v>1106</v>
      </c>
      <c r="C1" s="93" t="s">
        <v>1107</v>
      </c>
      <c r="D1" s="93" t="s">
        <v>1113</v>
      </c>
      <c r="E1" s="93" t="s">
        <v>1108</v>
      </c>
      <c r="F1" s="94" t="s">
        <v>922</v>
      </c>
      <c r="G1" s="94" t="s">
        <v>1109</v>
      </c>
      <c r="H1" s="94" t="s">
        <v>1110</v>
      </c>
      <c r="I1" s="94" t="s">
        <v>1111</v>
      </c>
      <c r="J1" s="95" t="s">
        <v>1112</v>
      </c>
      <c r="K1" s="95" t="s">
        <v>1118</v>
      </c>
      <c r="M1" s="94" t="s">
        <v>1116</v>
      </c>
      <c r="N1" s="94"/>
      <c r="O1" s="95" t="s">
        <v>1117</v>
      </c>
    </row>
    <row r="2" spans="1:26" ht="13.5" customHeight="1">
      <c r="A2" s="93">
        <v>31</v>
      </c>
      <c r="B2" s="94">
        <f t="shared" ref="B2:B29" si="0">A2+9.5</f>
        <v>40.5</v>
      </c>
      <c r="C2" s="93">
        <v>1</v>
      </c>
      <c r="D2" s="93">
        <v>31</v>
      </c>
      <c r="E2" s="93">
        <v>31</v>
      </c>
      <c r="F2" s="94">
        <v>0</v>
      </c>
      <c r="H2" s="94">
        <v>0</v>
      </c>
      <c r="J2" s="94">
        <v>0</v>
      </c>
      <c r="K2" s="94"/>
      <c r="L2" s="94"/>
      <c r="M2" s="94">
        <v>0</v>
      </c>
      <c r="N2" s="94"/>
      <c r="O2" s="94">
        <v>0</v>
      </c>
      <c r="P2" s="94"/>
      <c r="Q2" s="93" t="s">
        <v>908</v>
      </c>
      <c r="R2" s="93">
        <v>84401100</v>
      </c>
      <c r="S2" s="95">
        <f>V6+Y6/10</f>
        <v>5.5</v>
      </c>
      <c r="T2" s="119" t="s">
        <v>833</v>
      </c>
      <c r="U2" s="84" t="str">
        <f>Logic!A2</f>
        <v>USD</v>
      </c>
      <c r="X2" s="93"/>
      <c r="Y2" s="96"/>
      <c r="Z2" s="93"/>
    </row>
    <row r="3" spans="1:26" ht="13.5" customHeight="1">
      <c r="A3" s="93">
        <v>33</v>
      </c>
      <c r="B3" s="94">
        <f t="shared" si="0"/>
        <v>42.5</v>
      </c>
      <c r="C3" s="93">
        <v>1</v>
      </c>
      <c r="D3" s="93">
        <v>33</v>
      </c>
      <c r="E3" s="93">
        <v>32.5</v>
      </c>
      <c r="F3" s="94">
        <v>0</v>
      </c>
      <c r="H3" s="94">
        <v>0</v>
      </c>
      <c r="J3" s="94">
        <v>0</v>
      </c>
      <c r="K3" s="94"/>
      <c r="L3" s="94"/>
      <c r="M3" s="94">
        <v>0</v>
      </c>
      <c r="N3" s="94"/>
      <c r="O3" s="94">
        <v>0</v>
      </c>
      <c r="P3" s="94"/>
      <c r="Q3" s="93" t="s">
        <v>909</v>
      </c>
      <c r="R3" s="93">
        <v>84401101</v>
      </c>
      <c r="S3" s="95">
        <f>Y6+V6/10</f>
        <v>5.5</v>
      </c>
      <c r="T3" s="96"/>
      <c r="U3" s="96"/>
      <c r="V3" s="96"/>
      <c r="W3" s="93"/>
      <c r="X3" s="93"/>
      <c r="Y3" s="96"/>
      <c r="Z3" s="93"/>
    </row>
    <row r="4" spans="1:26" ht="13.5" customHeight="1" thickBot="1">
      <c r="A4" s="93">
        <v>35</v>
      </c>
      <c r="B4" s="94">
        <f t="shared" si="0"/>
        <v>44.5</v>
      </c>
      <c r="C4" s="93">
        <v>1</v>
      </c>
      <c r="D4" s="93">
        <v>35</v>
      </c>
      <c r="E4" s="93">
        <v>34.5</v>
      </c>
      <c r="F4" s="94">
        <v>0</v>
      </c>
      <c r="H4" s="94" t="s">
        <v>950</v>
      </c>
      <c r="I4" s="94">
        <v>80000322</v>
      </c>
      <c r="J4" s="94">
        <v>0</v>
      </c>
      <c r="K4" s="94"/>
      <c r="L4" s="94"/>
      <c r="M4" s="94">
        <v>0</v>
      </c>
      <c r="N4" s="94"/>
      <c r="O4" s="94">
        <v>0</v>
      </c>
      <c r="P4" s="94"/>
      <c r="Q4" s="93" t="s">
        <v>910</v>
      </c>
      <c r="R4" s="93">
        <v>84401102</v>
      </c>
      <c r="S4" s="93"/>
      <c r="T4" s="93"/>
      <c r="U4" s="116" t="s">
        <v>948</v>
      </c>
      <c r="V4" s="116" t="s">
        <v>942</v>
      </c>
      <c r="W4" s="117" t="s">
        <v>941</v>
      </c>
      <c r="X4" s="116"/>
      <c r="Y4" s="116" t="s">
        <v>942</v>
      </c>
      <c r="Z4" s="117" t="s">
        <v>941</v>
      </c>
    </row>
    <row r="5" spans="1:26" ht="13.5" customHeight="1" thickTop="1">
      <c r="A5" s="93">
        <v>38</v>
      </c>
      <c r="B5" s="94">
        <f t="shared" si="0"/>
        <v>47.5</v>
      </c>
      <c r="C5" s="93">
        <v>1</v>
      </c>
      <c r="D5" s="93">
        <v>33</v>
      </c>
      <c r="E5" s="93">
        <v>37.5</v>
      </c>
      <c r="F5" s="94">
        <v>5</v>
      </c>
      <c r="G5" s="94">
        <v>84400130</v>
      </c>
      <c r="H5" s="94" t="s">
        <v>949</v>
      </c>
      <c r="I5" s="94">
        <v>88000018</v>
      </c>
      <c r="J5" s="94">
        <v>0</v>
      </c>
      <c r="K5" s="94"/>
      <c r="L5" s="94"/>
      <c r="M5" s="94">
        <v>0</v>
      </c>
      <c r="N5" s="94"/>
      <c r="O5" s="94">
        <v>0</v>
      </c>
      <c r="P5" s="94"/>
      <c r="Q5" s="93" t="s">
        <v>911</v>
      </c>
      <c r="R5" s="93">
        <v>84401103</v>
      </c>
      <c r="S5" s="93"/>
      <c r="T5" s="93"/>
      <c r="U5" s="100" t="s">
        <v>964</v>
      </c>
      <c r="V5" s="137">
        <v>120</v>
      </c>
      <c r="W5" s="99"/>
      <c r="X5" s="93"/>
      <c r="Y5" s="137">
        <v>120</v>
      </c>
      <c r="Z5" s="99"/>
    </row>
    <row r="6" spans="1:26" ht="13.5" customHeight="1">
      <c r="A6" s="93">
        <v>40</v>
      </c>
      <c r="B6" s="94">
        <f t="shared" si="0"/>
        <v>49.5</v>
      </c>
      <c r="C6" s="93">
        <v>1</v>
      </c>
      <c r="D6" s="93">
        <v>35</v>
      </c>
      <c r="E6" s="93">
        <v>39.5</v>
      </c>
      <c r="F6" s="94">
        <v>5</v>
      </c>
      <c r="G6" s="94">
        <v>84400130</v>
      </c>
      <c r="H6" s="94" t="s">
        <v>947</v>
      </c>
      <c r="I6" s="94">
        <v>88000025</v>
      </c>
      <c r="J6" s="94">
        <v>0</v>
      </c>
      <c r="K6" s="94"/>
      <c r="L6" s="94"/>
      <c r="M6" s="94">
        <v>0</v>
      </c>
      <c r="N6" s="94"/>
      <c r="O6" s="94">
        <v>0</v>
      </c>
      <c r="P6" s="94"/>
      <c r="Q6" s="93" t="s">
        <v>912</v>
      </c>
      <c r="R6" s="93">
        <v>84401104</v>
      </c>
      <c r="S6" s="93"/>
      <c r="T6" s="93"/>
      <c r="U6" s="100" t="s">
        <v>954</v>
      </c>
      <c r="V6" s="101">
        <f>LOOKUP(V5,A2:C38)</f>
        <v>5</v>
      </c>
      <c r="W6" s="99"/>
      <c r="X6" s="93"/>
      <c r="Y6" s="101">
        <f>LOOKUP(Y5,A2:C38)</f>
        <v>5</v>
      </c>
      <c r="Z6" s="102"/>
    </row>
    <row r="7" spans="1:26" ht="13.5" customHeight="1">
      <c r="A7" s="93">
        <v>41</v>
      </c>
      <c r="B7" s="94">
        <f t="shared" si="0"/>
        <v>50.5</v>
      </c>
      <c r="C7" s="93">
        <v>2</v>
      </c>
      <c r="D7" s="93">
        <v>31</v>
      </c>
      <c r="E7" s="93">
        <v>31</v>
      </c>
      <c r="F7" s="94">
        <v>10</v>
      </c>
      <c r="G7" s="94">
        <v>84400131</v>
      </c>
      <c r="H7" s="94" t="s">
        <v>945</v>
      </c>
      <c r="I7" s="94">
        <v>88000052</v>
      </c>
      <c r="J7" s="94" t="s">
        <v>945</v>
      </c>
      <c r="K7" s="94">
        <v>80100613</v>
      </c>
      <c r="L7" s="94"/>
      <c r="M7" s="94">
        <v>0</v>
      </c>
      <c r="N7" s="94"/>
      <c r="O7" s="94">
        <v>0</v>
      </c>
      <c r="P7" s="94"/>
      <c r="Q7" s="93" t="s">
        <v>913</v>
      </c>
      <c r="R7" s="93">
        <v>84401108</v>
      </c>
      <c r="S7" s="93"/>
      <c r="T7" s="93"/>
      <c r="U7" s="100"/>
      <c r="V7" s="118" t="str">
        <f>"Bar no. "&amp;IF(S2&lt;S3,S2,S3)</f>
        <v>Bar no. 5.5</v>
      </c>
      <c r="W7" s="99">
        <f>LOOKUP(V7,Q2:R16)</f>
        <v>84401117</v>
      </c>
      <c r="X7" s="98"/>
      <c r="Y7" s="101"/>
      <c r="Z7" s="99"/>
    </row>
    <row r="8" spans="1:26" ht="13.5" customHeight="1">
      <c r="A8" s="93">
        <v>43</v>
      </c>
      <c r="B8" s="94">
        <f t="shared" si="0"/>
        <v>52.5</v>
      </c>
      <c r="C8" s="93">
        <v>2</v>
      </c>
      <c r="D8" s="93">
        <v>33</v>
      </c>
      <c r="E8" s="93">
        <v>32.5</v>
      </c>
      <c r="F8" s="94">
        <v>10</v>
      </c>
      <c r="G8" s="94">
        <v>84400131</v>
      </c>
      <c r="H8" s="94" t="s">
        <v>945</v>
      </c>
      <c r="I8" s="94">
        <v>88000052</v>
      </c>
      <c r="J8" s="94" t="s">
        <v>945</v>
      </c>
      <c r="K8" s="94">
        <v>80100613</v>
      </c>
      <c r="L8" s="94"/>
      <c r="M8" s="94">
        <v>0</v>
      </c>
      <c r="N8" s="94"/>
      <c r="O8" s="94">
        <v>0</v>
      </c>
      <c r="P8" s="94"/>
      <c r="Q8" s="93" t="s">
        <v>914</v>
      </c>
      <c r="R8" s="93">
        <v>84401109</v>
      </c>
      <c r="S8" s="93"/>
      <c r="T8" s="93"/>
      <c r="U8" s="100" t="s">
        <v>996</v>
      </c>
      <c r="V8" s="101">
        <f>LOOKUP(V5,A2:A38,D2:D38)</f>
        <v>75</v>
      </c>
      <c r="W8" s="99"/>
      <c r="X8" s="93"/>
      <c r="Y8" s="101">
        <f>LOOKUP(Y5,A2:A38,D2:D38)</f>
        <v>75</v>
      </c>
      <c r="Z8" s="99"/>
    </row>
    <row r="9" spans="1:26" ht="13.5" customHeight="1">
      <c r="A9" s="93">
        <v>45</v>
      </c>
      <c r="B9" s="94">
        <f t="shared" si="0"/>
        <v>54.5</v>
      </c>
      <c r="C9" s="93">
        <v>2</v>
      </c>
      <c r="D9" s="93">
        <v>35</v>
      </c>
      <c r="E9" s="93">
        <v>34.5</v>
      </c>
      <c r="F9" s="94">
        <v>10</v>
      </c>
      <c r="G9" s="94">
        <v>84400131</v>
      </c>
      <c r="H9" s="94" t="s">
        <v>946</v>
      </c>
      <c r="I9" s="94">
        <v>88000053</v>
      </c>
      <c r="J9" s="94" t="s">
        <v>945</v>
      </c>
      <c r="K9" s="94">
        <v>80100613</v>
      </c>
      <c r="L9" s="94"/>
      <c r="M9" s="94">
        <v>0</v>
      </c>
      <c r="N9" s="94"/>
      <c r="O9" s="94">
        <v>0</v>
      </c>
      <c r="P9" s="94"/>
      <c r="Q9" s="93" t="s">
        <v>915</v>
      </c>
      <c r="R9" s="93">
        <v>84401110</v>
      </c>
      <c r="S9" s="93"/>
      <c r="T9" s="93"/>
      <c r="U9" s="100" t="s">
        <v>1000</v>
      </c>
      <c r="V9" s="101">
        <f>LOOKUP(V5,A2:A38,E2:E38)</f>
        <v>32.5</v>
      </c>
      <c r="W9" s="99"/>
      <c r="X9" s="93"/>
      <c r="Y9" s="101">
        <f>LOOKUP(Y5,A2:A38,E2:E38)</f>
        <v>32.5</v>
      </c>
      <c r="Z9" s="99"/>
    </row>
    <row r="10" spans="1:26" ht="13.5" customHeight="1">
      <c r="A10" s="93">
        <v>46</v>
      </c>
      <c r="B10" s="94">
        <f t="shared" si="0"/>
        <v>55.5</v>
      </c>
      <c r="C10" s="93">
        <v>2</v>
      </c>
      <c r="D10" s="93">
        <v>31</v>
      </c>
      <c r="E10" s="93">
        <v>31</v>
      </c>
      <c r="F10" s="94">
        <v>15</v>
      </c>
      <c r="G10" s="94">
        <v>84400132</v>
      </c>
      <c r="H10" s="94" t="s">
        <v>943</v>
      </c>
      <c r="I10" s="94">
        <v>88000054</v>
      </c>
      <c r="J10" s="94" t="s">
        <v>943</v>
      </c>
      <c r="K10" s="103">
        <v>80100615</v>
      </c>
      <c r="L10" s="103"/>
      <c r="M10" s="94">
        <v>0</v>
      </c>
      <c r="N10" s="94"/>
      <c r="O10" s="94">
        <v>0</v>
      </c>
      <c r="P10" s="103"/>
      <c r="Q10" s="93" t="s">
        <v>916</v>
      </c>
      <c r="R10" s="93">
        <v>84401111</v>
      </c>
      <c r="S10" s="93"/>
      <c r="T10" s="93"/>
      <c r="U10" s="100" t="s">
        <v>997</v>
      </c>
      <c r="V10" s="118">
        <f>LOOKUP(V5,A2:A38,F2:F38)</f>
        <v>45</v>
      </c>
      <c r="W10" s="99">
        <f>IF(V10=0,"",LOOKUP(V5,A2:A38,G2:G38))</f>
        <v>84400138</v>
      </c>
      <c r="X10" s="96"/>
      <c r="Y10" s="118">
        <f>LOOKUP(Y5,A2:A38,F2:F38)</f>
        <v>45</v>
      </c>
      <c r="Z10" s="99">
        <f>IF(Y10=0,"",LOOKUP(Y5,A2:A38,G2:G38))</f>
        <v>84400138</v>
      </c>
    </row>
    <row r="11" spans="1:26" ht="13.5" customHeight="1">
      <c r="A11" s="93">
        <v>48</v>
      </c>
      <c r="B11" s="93">
        <f t="shared" si="0"/>
        <v>57.5</v>
      </c>
      <c r="C11" s="93">
        <v>2</v>
      </c>
      <c r="D11" s="93">
        <v>33</v>
      </c>
      <c r="E11" s="93">
        <v>32.5</v>
      </c>
      <c r="F11" s="93">
        <v>15</v>
      </c>
      <c r="G11" s="93">
        <v>84400132</v>
      </c>
      <c r="H11" s="93" t="s">
        <v>943</v>
      </c>
      <c r="I11" s="93">
        <v>88000054</v>
      </c>
      <c r="J11" s="93" t="s">
        <v>943</v>
      </c>
      <c r="K11" s="93">
        <v>80100615</v>
      </c>
      <c r="L11" s="93"/>
      <c r="M11" s="94">
        <v>0</v>
      </c>
      <c r="N11" s="94"/>
      <c r="O11" s="94">
        <v>0</v>
      </c>
      <c r="P11" s="103"/>
      <c r="Q11" s="93" t="s">
        <v>917</v>
      </c>
      <c r="R11" s="93">
        <v>84401112</v>
      </c>
      <c r="S11" s="93"/>
      <c r="T11" s="93"/>
      <c r="U11" s="100" t="s">
        <v>998</v>
      </c>
      <c r="V11" s="101" t="str">
        <f>LOOKUP(V5,A2:A38,H2:H38)</f>
        <v>Ø5x42</v>
      </c>
      <c r="W11" s="99">
        <f>IF(V11=0,"",LOOKUP(V5,A2:A38,I2:I38))</f>
        <v>88000065</v>
      </c>
      <c r="X11" s="96"/>
      <c r="Y11" s="101" t="str">
        <f>LOOKUP(Y5,A2:A38,H2:H38)</f>
        <v>Ø5x42</v>
      </c>
      <c r="Z11" s="99">
        <f>IF(Y11=0,"",LOOKUP(Y5,A2:A38,I2:I38))</f>
        <v>88000065</v>
      </c>
    </row>
    <row r="12" spans="1:26" ht="13.5" customHeight="1">
      <c r="A12" s="93">
        <v>50</v>
      </c>
      <c r="B12" s="93">
        <f t="shared" si="0"/>
        <v>59.5</v>
      </c>
      <c r="C12" s="93">
        <v>2</v>
      </c>
      <c r="D12" s="93">
        <v>35</v>
      </c>
      <c r="E12" s="93">
        <v>34.5</v>
      </c>
      <c r="F12" s="93">
        <v>15</v>
      </c>
      <c r="G12" s="93">
        <v>84400132</v>
      </c>
      <c r="H12" s="93" t="s">
        <v>944</v>
      </c>
      <c r="I12" s="93">
        <v>88000055</v>
      </c>
      <c r="J12" s="93" t="s">
        <v>943</v>
      </c>
      <c r="K12" s="93">
        <v>80100615</v>
      </c>
      <c r="L12" s="93"/>
      <c r="M12" s="94">
        <v>0</v>
      </c>
      <c r="N12" s="94"/>
      <c r="O12" s="94">
        <v>0</v>
      </c>
      <c r="P12" s="103"/>
      <c r="Q12" s="93" t="s">
        <v>918</v>
      </c>
      <c r="R12" s="93">
        <v>84401113</v>
      </c>
      <c r="S12" s="93"/>
      <c r="T12" s="93"/>
      <c r="U12" s="100" t="s">
        <v>1114</v>
      </c>
      <c r="V12" s="101" t="str">
        <f>LOOKUP(V5,A2:A38,L2:L38)</f>
        <v>Ø5x45</v>
      </c>
      <c r="W12" s="99">
        <f>IF(V12=0,"",LOOKUP(V5,A2:A38,M2:M38))</f>
        <v>88000066</v>
      </c>
      <c r="X12" s="96"/>
      <c r="Y12" s="101" t="str">
        <f>LOOKUP(Y5,A2:A38,L2:L38)</f>
        <v>Ø5x45</v>
      </c>
      <c r="Z12" s="99">
        <f>IF(Y12=0,"",LOOKUP(Y5,A2:A38,M2:M38))</f>
        <v>88000066</v>
      </c>
    </row>
    <row r="13" spans="1:26" ht="13.5" customHeight="1">
      <c r="A13" s="93">
        <v>51</v>
      </c>
      <c r="B13" s="93">
        <f t="shared" si="0"/>
        <v>60.5</v>
      </c>
      <c r="C13" s="93">
        <v>3</v>
      </c>
      <c r="D13" s="93">
        <v>31</v>
      </c>
      <c r="E13" s="93">
        <v>31</v>
      </c>
      <c r="F13" s="93">
        <v>20</v>
      </c>
      <c r="G13" s="93">
        <v>84400133</v>
      </c>
      <c r="H13" s="93" t="s">
        <v>939</v>
      </c>
      <c r="I13" s="93">
        <v>88000056</v>
      </c>
      <c r="J13" s="93" t="s">
        <v>939</v>
      </c>
      <c r="K13" s="93">
        <v>80100617</v>
      </c>
      <c r="L13" s="93"/>
      <c r="M13" s="94">
        <v>0</v>
      </c>
      <c r="N13" s="94"/>
      <c r="O13" s="94">
        <v>0</v>
      </c>
      <c r="P13" s="103"/>
      <c r="Q13" s="93" t="s">
        <v>951</v>
      </c>
      <c r="R13" s="93">
        <v>84401114</v>
      </c>
      <c r="S13" s="93"/>
      <c r="T13" s="93"/>
      <c r="U13" s="100" t="s">
        <v>999</v>
      </c>
      <c r="V13" s="101" t="str">
        <f>LOOKUP(V5,A2:A38,J2:J38)</f>
        <v>Ø5x42</v>
      </c>
      <c r="W13" s="99">
        <f>IF(V13=0,"",LOOKUP(V5,A2:A38,K2:K38))</f>
        <v>80002035</v>
      </c>
      <c r="X13" s="96"/>
      <c r="Y13" s="101" t="str">
        <f>LOOKUP(Y5,A2:A38,J2:J38)</f>
        <v>Ø5x42</v>
      </c>
      <c r="Z13" s="99">
        <f>IF(Y13=0,"",LOOKUP(Y5,A2:A38,K2:K38))</f>
        <v>80002035</v>
      </c>
    </row>
    <row r="14" spans="1:26" ht="13.5" customHeight="1">
      <c r="A14" s="93">
        <v>53</v>
      </c>
      <c r="B14" s="93">
        <f t="shared" si="0"/>
        <v>62.5</v>
      </c>
      <c r="C14" s="93">
        <v>3</v>
      </c>
      <c r="D14" s="93">
        <v>33</v>
      </c>
      <c r="E14" s="93">
        <v>32.5</v>
      </c>
      <c r="F14" s="93">
        <v>20</v>
      </c>
      <c r="G14" s="93">
        <v>84400133</v>
      </c>
      <c r="H14" s="93" t="s">
        <v>939</v>
      </c>
      <c r="I14" s="93">
        <v>88000056</v>
      </c>
      <c r="J14" s="93" t="s">
        <v>939</v>
      </c>
      <c r="K14" s="93">
        <v>80100617</v>
      </c>
      <c r="L14" s="93"/>
      <c r="M14" s="94">
        <v>0</v>
      </c>
      <c r="N14" s="94"/>
      <c r="O14" s="94">
        <v>0</v>
      </c>
      <c r="P14" s="103"/>
      <c r="Q14" s="93" t="s">
        <v>919</v>
      </c>
      <c r="R14" s="93">
        <v>84401115</v>
      </c>
      <c r="S14" s="93"/>
      <c r="T14" s="93"/>
      <c r="U14" s="100" t="s">
        <v>1115</v>
      </c>
      <c r="V14" s="101" t="str">
        <f>LOOKUP(V5,A2:A38,N2:N38)</f>
        <v>Ø5x45</v>
      </c>
      <c r="W14" s="99">
        <f>IF(V14=0,"",LOOKUP(V5,A2:A38,O2:O38))</f>
        <v>80002036</v>
      </c>
      <c r="X14" s="96"/>
      <c r="Y14" s="101" t="str">
        <f>LOOKUP(Y5,A2:A38,N2:N38)</f>
        <v>Ø5x45</v>
      </c>
      <c r="Z14" s="99">
        <f>IF(Y14=0,"",LOOKUP(Y5,A2:A38,O2:O38))</f>
        <v>80002036</v>
      </c>
    </row>
    <row r="15" spans="1:26" ht="13.5" customHeight="1">
      <c r="A15" s="93">
        <v>55</v>
      </c>
      <c r="B15" s="93">
        <f t="shared" si="0"/>
        <v>64.5</v>
      </c>
      <c r="C15" s="93">
        <v>3</v>
      </c>
      <c r="D15" s="93">
        <v>35</v>
      </c>
      <c r="E15" s="93">
        <v>34.5</v>
      </c>
      <c r="F15" s="93">
        <v>20</v>
      </c>
      <c r="G15" s="93">
        <v>84400133</v>
      </c>
      <c r="H15" s="93" t="s">
        <v>940</v>
      </c>
      <c r="I15" s="93">
        <v>88000057</v>
      </c>
      <c r="J15" s="93" t="s">
        <v>939</v>
      </c>
      <c r="K15" s="93">
        <v>80100617</v>
      </c>
      <c r="L15" s="93"/>
      <c r="M15" s="94">
        <v>0</v>
      </c>
      <c r="N15" s="94"/>
      <c r="O15" s="94">
        <v>0</v>
      </c>
      <c r="P15" s="103"/>
      <c r="Q15" s="93" t="s">
        <v>952</v>
      </c>
      <c r="R15" s="93">
        <v>84401116</v>
      </c>
      <c r="S15" s="93"/>
      <c r="T15" s="93"/>
      <c r="U15" s="100" t="s">
        <v>955</v>
      </c>
      <c r="V15" s="102" t="s">
        <v>961</v>
      </c>
      <c r="W15" s="99">
        <v>84400008</v>
      </c>
      <c r="X15" s="96"/>
      <c r="Y15" s="104"/>
      <c r="Z15" s="105"/>
    </row>
    <row r="16" spans="1:26" ht="13.5" customHeight="1" thickBot="1">
      <c r="A16" s="93">
        <v>56</v>
      </c>
      <c r="B16" s="93">
        <f t="shared" si="0"/>
        <v>65.5</v>
      </c>
      <c r="C16" s="93">
        <v>3</v>
      </c>
      <c r="D16" s="93">
        <v>31</v>
      </c>
      <c r="E16" s="93">
        <v>31</v>
      </c>
      <c r="F16" s="93">
        <v>25</v>
      </c>
      <c r="G16" s="93">
        <v>84400134</v>
      </c>
      <c r="H16" s="93" t="s">
        <v>936</v>
      </c>
      <c r="I16" s="93">
        <v>88000058</v>
      </c>
      <c r="J16" s="93" t="s">
        <v>936</v>
      </c>
      <c r="K16" s="93">
        <v>80002027</v>
      </c>
      <c r="L16" s="93"/>
      <c r="M16" s="94">
        <v>0</v>
      </c>
      <c r="N16" s="94"/>
      <c r="O16" s="94">
        <v>0</v>
      </c>
      <c r="P16" s="103"/>
      <c r="Q16" s="93" t="s">
        <v>953</v>
      </c>
      <c r="R16" s="93">
        <v>84401117</v>
      </c>
      <c r="S16" s="93"/>
      <c r="T16" s="93"/>
      <c r="U16" s="96"/>
      <c r="V16" s="104"/>
      <c r="W16" s="105"/>
      <c r="X16" s="97"/>
      <c r="Y16" s="97"/>
      <c r="Z16" s="97"/>
    </row>
    <row r="17" spans="1:28" ht="13.5" customHeight="1" thickBot="1">
      <c r="A17" s="93">
        <v>58</v>
      </c>
      <c r="B17" s="93">
        <f t="shared" si="0"/>
        <v>67.5</v>
      </c>
      <c r="C17" s="93">
        <v>3</v>
      </c>
      <c r="D17" s="93">
        <v>33</v>
      </c>
      <c r="E17" s="93">
        <v>32.5</v>
      </c>
      <c r="F17" s="93">
        <v>25</v>
      </c>
      <c r="G17" s="93">
        <v>84400134</v>
      </c>
      <c r="H17" s="93" t="s">
        <v>936</v>
      </c>
      <c r="I17" s="93">
        <v>88000058</v>
      </c>
      <c r="J17" s="93" t="s">
        <v>936</v>
      </c>
      <c r="K17" s="93">
        <v>80002027</v>
      </c>
      <c r="L17" s="93"/>
      <c r="M17" s="94">
        <v>0</v>
      </c>
      <c r="N17" s="94"/>
      <c r="O17" s="94">
        <v>0</v>
      </c>
      <c r="P17" s="103"/>
      <c r="Q17" s="93"/>
      <c r="R17" s="93"/>
      <c r="S17" s="93"/>
      <c r="T17" s="93"/>
      <c r="U17" s="98"/>
      <c r="V17" s="96"/>
      <c r="W17" s="93"/>
      <c r="X17" s="93"/>
      <c r="Y17" s="181" t="s">
        <v>963</v>
      </c>
      <c r="Z17" s="182"/>
    </row>
    <row r="18" spans="1:28" ht="13.5" customHeight="1" thickBot="1">
      <c r="A18" s="93">
        <v>60</v>
      </c>
      <c r="B18" s="93">
        <f t="shared" si="0"/>
        <v>69.5</v>
      </c>
      <c r="C18" s="93">
        <v>3</v>
      </c>
      <c r="D18" s="93">
        <v>35</v>
      </c>
      <c r="E18" s="93">
        <v>34.5</v>
      </c>
      <c r="F18" s="93">
        <v>25</v>
      </c>
      <c r="G18" s="93">
        <v>84400134</v>
      </c>
      <c r="H18" s="93" t="s">
        <v>937</v>
      </c>
      <c r="I18" s="93">
        <v>88000059</v>
      </c>
      <c r="J18" s="93" t="s">
        <v>936</v>
      </c>
      <c r="K18" s="93">
        <v>80002027</v>
      </c>
      <c r="L18" s="93"/>
      <c r="M18" s="94">
        <v>0</v>
      </c>
      <c r="N18" s="94"/>
      <c r="O18" s="94">
        <v>0</v>
      </c>
      <c r="P18" s="103"/>
      <c r="Q18" s="93" t="s">
        <v>923</v>
      </c>
      <c r="R18" s="93">
        <v>84401121</v>
      </c>
      <c r="S18" s="93"/>
      <c r="T18" s="93"/>
      <c r="U18" s="116" t="s">
        <v>938</v>
      </c>
      <c r="V18" s="116" t="s">
        <v>942</v>
      </c>
      <c r="W18" s="117" t="s">
        <v>941</v>
      </c>
      <c r="X18" s="93"/>
      <c r="Y18" s="93"/>
      <c r="Z18" s="93"/>
      <c r="AB18" s="106"/>
    </row>
    <row r="19" spans="1:28" ht="13.5" customHeight="1" thickTop="1">
      <c r="A19" s="93">
        <v>61</v>
      </c>
      <c r="B19" s="93">
        <f t="shared" si="0"/>
        <v>70.5</v>
      </c>
      <c r="C19" s="93">
        <v>4</v>
      </c>
      <c r="D19" s="93">
        <v>31</v>
      </c>
      <c r="E19" s="93">
        <v>31</v>
      </c>
      <c r="F19" s="93">
        <v>30</v>
      </c>
      <c r="G19" s="93">
        <v>84400135</v>
      </c>
      <c r="H19" s="93" t="s">
        <v>934</v>
      </c>
      <c r="I19" s="93">
        <v>88000060</v>
      </c>
      <c r="J19" s="93" t="s">
        <v>934</v>
      </c>
      <c r="K19" s="93">
        <v>80002029</v>
      </c>
      <c r="L19" s="93"/>
      <c r="M19" s="94">
        <v>0</v>
      </c>
      <c r="N19" s="94"/>
      <c r="O19" s="94">
        <v>0</v>
      </c>
      <c r="P19" s="103"/>
      <c r="Q19" s="93" t="s">
        <v>924</v>
      </c>
      <c r="R19" s="93">
        <v>84401122</v>
      </c>
      <c r="S19" s="93"/>
      <c r="T19" s="93"/>
      <c r="U19" s="100" t="s">
        <v>964</v>
      </c>
      <c r="V19" s="137">
        <v>119.5</v>
      </c>
      <c r="W19" s="99"/>
      <c r="X19" s="93"/>
      <c r="Y19" s="96"/>
      <c r="Z19" s="93"/>
    </row>
    <row r="20" spans="1:28" ht="13.5" customHeight="1">
      <c r="A20" s="93">
        <v>63</v>
      </c>
      <c r="B20" s="93">
        <f t="shared" si="0"/>
        <v>72.5</v>
      </c>
      <c r="C20" s="93">
        <v>4</v>
      </c>
      <c r="D20" s="93">
        <v>33</v>
      </c>
      <c r="E20" s="93">
        <v>32.5</v>
      </c>
      <c r="F20" s="93">
        <v>30</v>
      </c>
      <c r="G20" s="93">
        <v>84400135</v>
      </c>
      <c r="H20" s="93" t="s">
        <v>934</v>
      </c>
      <c r="I20" s="93">
        <v>88000060</v>
      </c>
      <c r="J20" s="93" t="s">
        <v>934</v>
      </c>
      <c r="K20" s="93">
        <v>80002029</v>
      </c>
      <c r="L20" s="93"/>
      <c r="M20" s="94">
        <v>0</v>
      </c>
      <c r="N20" s="94"/>
      <c r="O20" s="94">
        <v>0</v>
      </c>
      <c r="P20" s="103"/>
      <c r="Q20" s="93" t="s">
        <v>925</v>
      </c>
      <c r="R20" s="93">
        <v>84401123</v>
      </c>
      <c r="S20" s="93"/>
      <c r="T20" s="93"/>
      <c r="U20" s="100" t="s">
        <v>954</v>
      </c>
      <c r="V20" s="118" t="str">
        <f>"Bar no. "&amp;LOOKUP(V19,B2:C38)</f>
        <v>Bar no. 4</v>
      </c>
      <c r="W20" s="102">
        <f>LOOKUP(V20,Q18:Q22,R18:R22)</f>
        <v>84401124</v>
      </c>
      <c r="X20" s="93"/>
      <c r="Y20" s="107"/>
    </row>
    <row r="21" spans="1:28" ht="13.5" customHeight="1">
      <c r="A21" s="93">
        <v>65</v>
      </c>
      <c r="B21" s="93">
        <f t="shared" si="0"/>
        <v>74.5</v>
      </c>
      <c r="C21" s="93">
        <v>4</v>
      </c>
      <c r="D21" s="93">
        <v>35</v>
      </c>
      <c r="E21" s="93">
        <v>34.5</v>
      </c>
      <c r="F21" s="93">
        <v>30</v>
      </c>
      <c r="G21" s="93">
        <v>84400135</v>
      </c>
      <c r="H21" s="93" t="s">
        <v>935</v>
      </c>
      <c r="I21" s="93">
        <v>88000061</v>
      </c>
      <c r="J21" s="93" t="s">
        <v>934</v>
      </c>
      <c r="K21" s="93">
        <v>80002029</v>
      </c>
      <c r="L21" s="93"/>
      <c r="M21" s="94">
        <v>0</v>
      </c>
      <c r="N21" s="94"/>
      <c r="O21" s="94">
        <v>0</v>
      </c>
      <c r="P21" s="103"/>
      <c r="Q21" s="93" t="s">
        <v>926</v>
      </c>
      <c r="R21" s="93">
        <v>84401124</v>
      </c>
      <c r="S21" s="93"/>
      <c r="T21" s="93"/>
      <c r="U21" s="100" t="s">
        <v>996</v>
      </c>
      <c r="V21" s="101">
        <f>LOOKUP(V19,B2:B38,D2:D38)</f>
        <v>75</v>
      </c>
      <c r="W21" s="99"/>
      <c r="X21" s="93"/>
      <c r="Y21" s="107"/>
    </row>
    <row r="22" spans="1:28" ht="13.5" customHeight="1">
      <c r="A22" s="93">
        <v>66</v>
      </c>
      <c r="B22" s="93">
        <f t="shared" si="0"/>
        <v>75.5</v>
      </c>
      <c r="C22" s="93">
        <v>4</v>
      </c>
      <c r="D22" s="93">
        <v>31</v>
      </c>
      <c r="E22" s="93">
        <v>31</v>
      </c>
      <c r="F22" s="93">
        <v>35</v>
      </c>
      <c r="G22" s="93">
        <v>84400136</v>
      </c>
      <c r="H22" s="93" t="s">
        <v>932</v>
      </c>
      <c r="I22" s="93">
        <v>88000062</v>
      </c>
      <c r="J22" s="93" t="s">
        <v>932</v>
      </c>
      <c r="K22" s="93">
        <v>80002032</v>
      </c>
      <c r="L22" s="93"/>
      <c r="M22" s="94">
        <v>0</v>
      </c>
      <c r="N22" s="94"/>
      <c r="O22" s="94">
        <v>0</v>
      </c>
      <c r="P22" s="103"/>
      <c r="Q22" s="93" t="s">
        <v>927</v>
      </c>
      <c r="R22" s="93">
        <v>84401125</v>
      </c>
      <c r="S22" s="93"/>
      <c r="T22" s="93"/>
      <c r="U22" s="100" t="s">
        <v>1000</v>
      </c>
      <c r="V22" s="101">
        <f>LOOKUP(V19,B2:B38,E2:E38)</f>
        <v>32.5</v>
      </c>
      <c r="W22" s="99"/>
      <c r="X22" s="96"/>
      <c r="Y22" s="107"/>
    </row>
    <row r="23" spans="1:28" ht="13.5" customHeight="1">
      <c r="A23" s="93">
        <v>68</v>
      </c>
      <c r="B23" s="93">
        <f t="shared" si="0"/>
        <v>77.5</v>
      </c>
      <c r="C23" s="93">
        <v>4</v>
      </c>
      <c r="D23" s="93">
        <v>33</v>
      </c>
      <c r="E23" s="93">
        <v>32.5</v>
      </c>
      <c r="F23" s="93">
        <v>35</v>
      </c>
      <c r="G23" s="93">
        <v>84400136</v>
      </c>
      <c r="H23" s="93" t="s">
        <v>932</v>
      </c>
      <c r="I23" s="93">
        <v>88000062</v>
      </c>
      <c r="J23" s="93" t="s">
        <v>932</v>
      </c>
      <c r="K23" s="93">
        <v>80002032</v>
      </c>
      <c r="L23" s="93"/>
      <c r="M23" s="94">
        <v>0</v>
      </c>
      <c r="N23" s="94"/>
      <c r="O23" s="94">
        <v>0</v>
      </c>
      <c r="P23" s="103"/>
      <c r="Q23" s="108"/>
      <c r="R23" s="103"/>
      <c r="S23" s="93"/>
      <c r="T23" s="93"/>
      <c r="U23" s="100" t="s">
        <v>997</v>
      </c>
      <c r="V23" s="118">
        <f>LOOKUP(V19,B2:B38,F2:F38)</f>
        <v>35</v>
      </c>
      <c r="W23" s="99">
        <f>IF(V23=0,"",LOOKUP(V19,B2:B30,G2:G30))</f>
        <v>84400138</v>
      </c>
      <c r="X23" s="96"/>
      <c r="Y23" s="107"/>
    </row>
    <row r="24" spans="1:28" ht="13.5" customHeight="1">
      <c r="A24" s="93">
        <v>70</v>
      </c>
      <c r="B24" s="93">
        <f t="shared" si="0"/>
        <v>79.5</v>
      </c>
      <c r="C24" s="93">
        <v>4</v>
      </c>
      <c r="D24" s="93">
        <v>35</v>
      </c>
      <c r="E24" s="93">
        <v>34.5</v>
      </c>
      <c r="F24" s="93">
        <v>35</v>
      </c>
      <c r="G24" s="93">
        <v>84400136</v>
      </c>
      <c r="H24" s="93" t="s">
        <v>933</v>
      </c>
      <c r="I24" s="93">
        <v>88000063</v>
      </c>
      <c r="J24" s="93" t="s">
        <v>932</v>
      </c>
      <c r="K24" s="93">
        <v>80002032</v>
      </c>
      <c r="L24" s="93"/>
      <c r="M24" s="94">
        <v>0</v>
      </c>
      <c r="N24" s="94"/>
      <c r="O24" s="94">
        <v>0</v>
      </c>
      <c r="P24" s="103"/>
      <c r="Q24" s="108"/>
      <c r="R24" s="103"/>
      <c r="T24" s="93"/>
      <c r="U24" s="100" t="s">
        <v>998</v>
      </c>
      <c r="V24" s="101" t="str">
        <f>LOOKUP(V19,B2:B38,H2:H38)</f>
        <v>Ø5x42</v>
      </c>
      <c r="W24" s="99">
        <f>IF(V24=0,"",LOOKUP(V19,B2:B30,I2:I30))</f>
        <v>88000067</v>
      </c>
      <c r="X24" s="96"/>
      <c r="Y24" s="107"/>
      <c r="Z24" s="97"/>
    </row>
    <row r="25" spans="1:28" ht="13.5" customHeight="1">
      <c r="A25" s="93">
        <v>71</v>
      </c>
      <c r="B25" s="93">
        <f t="shared" si="0"/>
        <v>80.5</v>
      </c>
      <c r="C25" s="93">
        <v>5</v>
      </c>
      <c r="D25" s="93">
        <v>31</v>
      </c>
      <c r="E25" s="93">
        <v>31</v>
      </c>
      <c r="F25" s="93">
        <v>40</v>
      </c>
      <c r="G25" s="93">
        <v>84400137</v>
      </c>
      <c r="H25" s="93" t="s">
        <v>930</v>
      </c>
      <c r="I25" s="93">
        <v>88000064</v>
      </c>
      <c r="J25" s="93" t="s">
        <v>930</v>
      </c>
      <c r="K25" s="93">
        <v>80002034</v>
      </c>
      <c r="L25" s="93"/>
      <c r="M25" s="94">
        <v>0</v>
      </c>
      <c r="N25" s="94"/>
      <c r="O25" s="94">
        <v>0</v>
      </c>
      <c r="P25" s="103"/>
      <c r="Q25" s="108"/>
      <c r="R25" s="103"/>
      <c r="U25" s="100" t="s">
        <v>1114</v>
      </c>
      <c r="V25" s="101" t="str">
        <f>LOOKUP(V19,A2:A38,L2:L38)</f>
        <v>Ø5x40</v>
      </c>
      <c r="W25" s="99">
        <f>IF(V25=0,"",LOOKUP(V19,A2:A38,M2:M38))</f>
        <v>88000064</v>
      </c>
      <c r="X25" s="96"/>
      <c r="Y25" s="107"/>
    </row>
    <row r="26" spans="1:28" ht="13.5" customHeight="1">
      <c r="A26" s="93">
        <v>73</v>
      </c>
      <c r="B26" s="93">
        <f t="shared" si="0"/>
        <v>82.5</v>
      </c>
      <c r="C26" s="93">
        <v>5</v>
      </c>
      <c r="D26" s="93">
        <v>33</v>
      </c>
      <c r="E26" s="93">
        <v>32.5</v>
      </c>
      <c r="F26" s="93">
        <v>40</v>
      </c>
      <c r="G26" s="93">
        <v>84400137</v>
      </c>
      <c r="H26" s="93" t="s">
        <v>930</v>
      </c>
      <c r="I26" s="93">
        <v>88000064</v>
      </c>
      <c r="J26" s="93" t="s">
        <v>930</v>
      </c>
      <c r="K26" s="93">
        <v>80002034</v>
      </c>
      <c r="L26" s="93"/>
      <c r="M26" s="94">
        <v>0</v>
      </c>
      <c r="N26" s="94"/>
      <c r="O26" s="94">
        <v>0</v>
      </c>
      <c r="P26" s="103"/>
      <c r="Q26" s="108"/>
      <c r="R26" s="103"/>
      <c r="U26" s="100" t="s">
        <v>999</v>
      </c>
      <c r="V26" s="101" t="str">
        <f>LOOKUP(V19,B2:B38,J2:J38)</f>
        <v>Ø5x42</v>
      </c>
      <c r="W26" s="99">
        <f>IF(V26=0,"",LOOKUP(V19,B2:B30,K2:K30))</f>
        <v>80002036</v>
      </c>
      <c r="X26" s="109"/>
      <c r="Y26" s="107"/>
    </row>
    <row r="27" spans="1:28" ht="13.5" customHeight="1">
      <c r="A27" s="93">
        <v>75</v>
      </c>
      <c r="B27" s="93">
        <f t="shared" si="0"/>
        <v>84.5</v>
      </c>
      <c r="C27" s="93">
        <v>5</v>
      </c>
      <c r="D27" s="93">
        <v>35</v>
      </c>
      <c r="E27" s="93">
        <v>34.5</v>
      </c>
      <c r="F27" s="93">
        <v>40</v>
      </c>
      <c r="G27" s="93">
        <v>84400137</v>
      </c>
      <c r="H27" s="93" t="s">
        <v>931</v>
      </c>
      <c r="I27" s="93">
        <v>88000065</v>
      </c>
      <c r="J27" s="93" t="s">
        <v>930</v>
      </c>
      <c r="K27" s="93">
        <v>80002034</v>
      </c>
      <c r="L27" s="93"/>
      <c r="M27" s="94">
        <v>0</v>
      </c>
      <c r="N27" s="94"/>
      <c r="O27" s="94">
        <v>0</v>
      </c>
      <c r="P27" s="103"/>
      <c r="Q27" s="108"/>
      <c r="R27" s="103"/>
      <c r="T27" s="109"/>
      <c r="U27" s="100" t="s">
        <v>1115</v>
      </c>
      <c r="V27" s="101" t="str">
        <f>LOOKUP(V19,A2:A38,N2:N38)</f>
        <v>Ø5x40</v>
      </c>
      <c r="W27" s="99">
        <f>IF(V27=0,"",LOOKUP(V19,A2:A38,O2:O38))</f>
        <v>80002034</v>
      </c>
      <c r="X27" s="112"/>
      <c r="Y27" s="153"/>
    </row>
    <row r="28" spans="1:28" ht="13.5" customHeight="1">
      <c r="A28" s="93">
        <v>76</v>
      </c>
      <c r="B28" s="93">
        <f t="shared" si="0"/>
        <v>85.5</v>
      </c>
      <c r="C28" s="93">
        <v>5</v>
      </c>
      <c r="D28" s="93">
        <v>31</v>
      </c>
      <c r="E28" s="93">
        <v>31</v>
      </c>
      <c r="F28" s="93">
        <v>45</v>
      </c>
      <c r="G28" s="93">
        <v>84400138</v>
      </c>
      <c r="H28" s="93" t="s">
        <v>928</v>
      </c>
      <c r="I28" s="93">
        <v>88000066</v>
      </c>
      <c r="J28" s="93" t="s">
        <v>928</v>
      </c>
      <c r="K28" s="93">
        <v>80002036</v>
      </c>
      <c r="L28" s="93"/>
      <c r="M28" s="94">
        <v>0</v>
      </c>
      <c r="N28" s="94"/>
      <c r="O28" s="94">
        <v>0</v>
      </c>
      <c r="P28" s="103"/>
      <c r="Q28" s="108"/>
      <c r="R28" s="103"/>
      <c r="T28" s="109"/>
      <c r="U28" s="100" t="s">
        <v>955</v>
      </c>
      <c r="V28" s="102" t="s">
        <v>962</v>
      </c>
      <c r="W28" s="99">
        <v>84400008</v>
      </c>
      <c r="AA28" s="106"/>
    </row>
    <row r="29" spans="1:28" ht="13.5" customHeight="1">
      <c r="A29" s="93">
        <v>78</v>
      </c>
      <c r="B29" s="93">
        <f t="shared" si="0"/>
        <v>87.5</v>
      </c>
      <c r="C29" s="93">
        <v>5</v>
      </c>
      <c r="D29" s="93">
        <v>33</v>
      </c>
      <c r="E29" s="93">
        <v>32.5</v>
      </c>
      <c r="F29" s="93">
        <v>45</v>
      </c>
      <c r="G29" s="93">
        <v>84400138</v>
      </c>
      <c r="H29" s="93" t="s">
        <v>928</v>
      </c>
      <c r="I29" s="93">
        <v>88000066</v>
      </c>
      <c r="J29" s="93" t="s">
        <v>928</v>
      </c>
      <c r="K29" s="93">
        <v>80002036</v>
      </c>
      <c r="L29" s="93"/>
      <c r="M29" s="94">
        <v>0</v>
      </c>
      <c r="N29" s="94"/>
      <c r="O29" s="94">
        <v>0</v>
      </c>
      <c r="P29" s="103"/>
      <c r="Q29" s="108"/>
      <c r="R29" s="103"/>
      <c r="T29" s="109"/>
      <c r="U29" s="100" t="s">
        <v>956</v>
      </c>
      <c r="V29" s="101"/>
      <c r="W29" s="99">
        <v>84400071</v>
      </c>
      <c r="AA29" s="106"/>
    </row>
    <row r="30" spans="1:28" ht="13.5" customHeight="1">
      <c r="A30" s="93">
        <v>80</v>
      </c>
      <c r="B30" s="93">
        <f>A30+9.5</f>
        <v>89.5</v>
      </c>
      <c r="C30" s="93">
        <v>5</v>
      </c>
      <c r="D30" s="93">
        <v>35</v>
      </c>
      <c r="E30" s="93">
        <v>34.5</v>
      </c>
      <c r="F30" s="93">
        <v>45</v>
      </c>
      <c r="G30" s="93">
        <v>84400138</v>
      </c>
      <c r="H30" s="93" t="s">
        <v>929</v>
      </c>
      <c r="I30" s="93">
        <v>88000067</v>
      </c>
      <c r="J30" s="93" t="s">
        <v>928</v>
      </c>
      <c r="K30" s="93">
        <v>80002036</v>
      </c>
      <c r="L30" s="93"/>
      <c r="M30" s="94">
        <v>0</v>
      </c>
      <c r="N30" s="94"/>
      <c r="O30" s="94">
        <v>0</v>
      </c>
      <c r="P30" s="103"/>
      <c r="Q30" s="108"/>
      <c r="R30" s="103"/>
      <c r="T30" s="109"/>
      <c r="W30" s="97"/>
    </row>
    <row r="31" spans="1:28" ht="13.5" customHeight="1">
      <c r="A31" s="151">
        <v>85</v>
      </c>
      <c r="B31" s="151">
        <f t="shared" ref="B31:B38" si="1">A31+9.5</f>
        <v>94.5</v>
      </c>
      <c r="C31" s="151">
        <v>2</v>
      </c>
      <c r="D31" s="151">
        <v>75</v>
      </c>
      <c r="E31" s="151">
        <v>32.5</v>
      </c>
      <c r="F31" s="152">
        <v>10</v>
      </c>
      <c r="G31" s="152">
        <v>84400131</v>
      </c>
      <c r="H31" s="151" t="s">
        <v>931</v>
      </c>
      <c r="I31" s="151">
        <v>88000065</v>
      </c>
      <c r="J31" s="151" t="s">
        <v>931</v>
      </c>
      <c r="K31" s="151">
        <v>80002035</v>
      </c>
      <c r="L31" s="152" t="s">
        <v>945</v>
      </c>
      <c r="M31" s="152">
        <v>88000052</v>
      </c>
      <c r="N31" s="152" t="s">
        <v>945</v>
      </c>
      <c r="O31" s="152">
        <v>80100613</v>
      </c>
      <c r="P31" s="103"/>
      <c r="Q31" s="108"/>
      <c r="R31" s="103"/>
      <c r="W31" s="97"/>
      <c r="X31" s="95"/>
      <c r="Y31" s="110"/>
      <c r="Z31" s="97"/>
    </row>
    <row r="32" spans="1:28" ht="13.5" customHeight="1">
      <c r="A32" s="151">
        <v>90</v>
      </c>
      <c r="B32" s="151">
        <f t="shared" si="1"/>
        <v>99.5</v>
      </c>
      <c r="C32" s="151">
        <v>2</v>
      </c>
      <c r="D32" s="151">
        <v>75</v>
      </c>
      <c r="E32" s="151">
        <v>32.5</v>
      </c>
      <c r="F32" s="152">
        <v>15</v>
      </c>
      <c r="G32" s="152">
        <v>84400132</v>
      </c>
      <c r="H32" s="151" t="s">
        <v>931</v>
      </c>
      <c r="I32" s="151">
        <v>88000065</v>
      </c>
      <c r="J32" s="151" t="s">
        <v>931</v>
      </c>
      <c r="K32" s="151">
        <v>80002035</v>
      </c>
      <c r="L32" s="151" t="s">
        <v>943</v>
      </c>
      <c r="M32" s="151">
        <v>88000054</v>
      </c>
      <c r="N32" s="151" t="s">
        <v>943</v>
      </c>
      <c r="O32" s="151">
        <v>80100615</v>
      </c>
      <c r="P32" s="103"/>
      <c r="Q32" s="108"/>
      <c r="R32" s="103"/>
      <c r="S32" s="97"/>
      <c r="V32" s="107"/>
      <c r="W32" s="97"/>
      <c r="X32" s="95"/>
      <c r="Y32" s="107"/>
      <c r="Z32" s="97"/>
    </row>
    <row r="33" spans="1:26" ht="13.5" customHeight="1">
      <c r="A33" s="151">
        <v>95</v>
      </c>
      <c r="B33" s="151">
        <f t="shared" si="1"/>
        <v>104.5</v>
      </c>
      <c r="C33" s="151">
        <v>3</v>
      </c>
      <c r="D33" s="151">
        <v>75</v>
      </c>
      <c r="E33" s="151">
        <v>32.5</v>
      </c>
      <c r="F33" s="152">
        <v>20</v>
      </c>
      <c r="G33" s="151">
        <v>84400133</v>
      </c>
      <c r="H33" s="151" t="s">
        <v>931</v>
      </c>
      <c r="I33" s="151">
        <v>88000065</v>
      </c>
      <c r="J33" s="151" t="s">
        <v>931</v>
      </c>
      <c r="K33" s="151">
        <v>80002035</v>
      </c>
      <c r="L33" s="151" t="s">
        <v>939</v>
      </c>
      <c r="M33" s="151">
        <v>88000056</v>
      </c>
      <c r="N33" s="151" t="s">
        <v>939</v>
      </c>
      <c r="O33" s="151">
        <v>80100617</v>
      </c>
      <c r="P33" s="103"/>
      <c r="Q33" s="97"/>
      <c r="R33" s="97"/>
      <c r="S33" s="97"/>
      <c r="U33" s="98"/>
      <c r="V33" s="96"/>
      <c r="W33" s="93"/>
      <c r="X33" s="95"/>
      <c r="Y33" s="95"/>
      <c r="Z33" s="93"/>
    </row>
    <row r="34" spans="1:26" ht="13.5" customHeight="1">
      <c r="A34" s="151">
        <v>100</v>
      </c>
      <c r="B34" s="151">
        <f t="shared" si="1"/>
        <v>109.5</v>
      </c>
      <c r="C34" s="151">
        <v>3</v>
      </c>
      <c r="D34" s="151">
        <v>75</v>
      </c>
      <c r="E34" s="151">
        <v>32.5</v>
      </c>
      <c r="F34" s="152">
        <v>25</v>
      </c>
      <c r="G34" s="151">
        <v>84400134</v>
      </c>
      <c r="H34" s="151" t="s">
        <v>931</v>
      </c>
      <c r="I34" s="151">
        <v>88000065</v>
      </c>
      <c r="J34" s="151" t="s">
        <v>931</v>
      </c>
      <c r="K34" s="151">
        <v>80002035</v>
      </c>
      <c r="L34" s="151" t="s">
        <v>936</v>
      </c>
      <c r="M34" s="151">
        <v>88000058</v>
      </c>
      <c r="N34" s="151" t="s">
        <v>936</v>
      </c>
      <c r="O34" s="151">
        <v>80002027</v>
      </c>
      <c r="P34" s="103"/>
      <c r="Q34" s="97"/>
      <c r="R34" s="97"/>
      <c r="V34" s="98"/>
      <c r="W34" s="98"/>
      <c r="X34" s="97"/>
      <c r="Y34" s="95"/>
      <c r="Z34" s="93"/>
    </row>
    <row r="35" spans="1:26" ht="13.5" customHeight="1">
      <c r="A35" s="151">
        <v>105</v>
      </c>
      <c r="B35" s="151">
        <f t="shared" si="1"/>
        <v>114.5</v>
      </c>
      <c r="C35" s="151">
        <v>4</v>
      </c>
      <c r="D35" s="151">
        <v>75</v>
      </c>
      <c r="E35" s="151">
        <v>32.5</v>
      </c>
      <c r="F35" s="152">
        <v>30</v>
      </c>
      <c r="G35" s="151">
        <v>84400135</v>
      </c>
      <c r="H35" s="151" t="s">
        <v>931</v>
      </c>
      <c r="I35" s="151">
        <v>88000065</v>
      </c>
      <c r="J35" s="151" t="s">
        <v>931</v>
      </c>
      <c r="K35" s="151">
        <v>80002035</v>
      </c>
      <c r="L35" s="151" t="s">
        <v>934</v>
      </c>
      <c r="M35" s="151">
        <v>88000060</v>
      </c>
      <c r="N35" s="151" t="s">
        <v>934</v>
      </c>
      <c r="O35" s="151">
        <v>80002029</v>
      </c>
      <c r="P35" s="103"/>
      <c r="U35" s="98"/>
      <c r="V35" s="96"/>
      <c r="W35" s="93"/>
      <c r="Y35" s="97"/>
    </row>
    <row r="36" spans="1:26" ht="13.5" customHeight="1">
      <c r="A36" s="151">
        <v>110</v>
      </c>
      <c r="B36" s="151">
        <f t="shared" si="1"/>
        <v>119.5</v>
      </c>
      <c r="C36" s="151">
        <v>4</v>
      </c>
      <c r="D36" s="151">
        <v>75</v>
      </c>
      <c r="E36" s="151">
        <v>32.5</v>
      </c>
      <c r="F36" s="152">
        <v>35</v>
      </c>
      <c r="G36" s="151">
        <v>84400136</v>
      </c>
      <c r="H36" s="151" t="s">
        <v>931</v>
      </c>
      <c r="I36" s="151">
        <v>88000065</v>
      </c>
      <c r="J36" s="151" t="s">
        <v>931</v>
      </c>
      <c r="K36" s="151">
        <v>80002035</v>
      </c>
      <c r="L36" s="151" t="s">
        <v>932</v>
      </c>
      <c r="M36" s="151">
        <v>88000062</v>
      </c>
      <c r="N36" s="151" t="s">
        <v>932</v>
      </c>
      <c r="O36" s="151">
        <v>80002032</v>
      </c>
      <c r="P36" s="103"/>
      <c r="U36" s="97"/>
      <c r="W36" s="114"/>
      <c r="Y36" s="114"/>
    </row>
    <row r="37" spans="1:26" ht="13.5" customHeight="1">
      <c r="A37" s="151">
        <v>115</v>
      </c>
      <c r="B37" s="151">
        <f t="shared" si="1"/>
        <v>124.5</v>
      </c>
      <c r="C37" s="151">
        <v>5</v>
      </c>
      <c r="D37" s="151">
        <v>75</v>
      </c>
      <c r="E37" s="151">
        <v>32.5</v>
      </c>
      <c r="F37" s="152">
        <v>40</v>
      </c>
      <c r="G37" s="151">
        <v>84400137</v>
      </c>
      <c r="H37" s="151" t="s">
        <v>931</v>
      </c>
      <c r="I37" s="151">
        <v>88000065</v>
      </c>
      <c r="J37" s="151" t="s">
        <v>931</v>
      </c>
      <c r="K37" s="151">
        <v>80002035</v>
      </c>
      <c r="L37" s="151" t="s">
        <v>930</v>
      </c>
      <c r="M37" s="151">
        <v>88000064</v>
      </c>
      <c r="N37" s="151" t="s">
        <v>930</v>
      </c>
      <c r="O37" s="151">
        <v>80002034</v>
      </c>
      <c r="P37" s="103"/>
      <c r="W37" s="114"/>
    </row>
    <row r="38" spans="1:26" ht="13.5" customHeight="1">
      <c r="A38" s="151">
        <v>120</v>
      </c>
      <c r="B38" s="151">
        <f t="shared" si="1"/>
        <v>129.5</v>
      </c>
      <c r="C38" s="151">
        <v>5</v>
      </c>
      <c r="D38" s="151">
        <v>75</v>
      </c>
      <c r="E38" s="151">
        <v>32.5</v>
      </c>
      <c r="F38" s="152">
        <v>45</v>
      </c>
      <c r="G38" s="151">
        <v>84400138</v>
      </c>
      <c r="H38" s="151" t="s">
        <v>931</v>
      </c>
      <c r="I38" s="151">
        <v>88000065</v>
      </c>
      <c r="J38" s="151" t="s">
        <v>931</v>
      </c>
      <c r="K38" s="151">
        <v>80002035</v>
      </c>
      <c r="L38" s="151" t="s">
        <v>928</v>
      </c>
      <c r="M38" s="151">
        <v>88000066</v>
      </c>
      <c r="N38" s="151" t="s">
        <v>928</v>
      </c>
      <c r="O38" s="151">
        <v>80002036</v>
      </c>
      <c r="P38" s="103"/>
    </row>
  </sheetData>
  <sheetProtection algorithmName="SHA-512" hashValue="+wdZANPCtSaM/vtEoxI/s5FnJlSjgvDwdWxlEH8OFsrGuhcsrfAwhYqp/mjRiJ66MqTb4u7IPW6qsOgu1N+WIg==" saltValue="Yf7+0DTXX6QGNxKwfjzOKQ==" spinCount="100000" sheet="1" objects="1" scenarios="1"/>
  <protectedRanges>
    <protectedRange sqref="V5 Y5 V19" name="Range1"/>
  </protectedRanges>
  <dataValidations count="3">
    <dataValidation type="list" allowBlank="1" showInputMessage="1" showErrorMessage="1" sqref="V19">
      <formula1>$B$2:$B$38</formula1>
    </dataValidation>
    <dataValidation type="list" allowBlank="1" showInputMessage="1" showErrorMessage="1" sqref="Y5 V5">
      <formula1>$A$2:$A$38</formula1>
    </dataValidation>
    <dataValidation type="list" allowBlank="1" showInputMessage="1" showErrorMessage="1" sqref="AB18">
      <formula1>$A$2:$A$29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60</vt:i4>
      </vt:variant>
    </vt:vector>
  </HeadingPairs>
  <TitlesOfParts>
    <vt:vector size="65" baseType="lpstr">
      <vt:lpstr>new data</vt:lpstr>
      <vt:lpstr>Logic</vt:lpstr>
      <vt:lpstr>Tables</vt:lpstr>
      <vt:lpstr>Internal</vt:lpstr>
      <vt:lpstr>Modular calculator</vt:lpstr>
      <vt:lpstr>BackPnsRng</vt:lpstr>
      <vt:lpstr>BarT</vt:lpstr>
      <vt:lpstr>BKScrToCalc</vt:lpstr>
      <vt:lpstr>Body_spacerT</vt:lpstr>
      <vt:lpstr>Break_Secure</vt:lpstr>
      <vt:lpstr>CalcPlatProd</vt:lpstr>
      <vt:lpstr>CliQ</vt:lpstr>
      <vt:lpstr>CliqT</vt:lpstr>
      <vt:lpstr>ConstructionCylToCalc</vt:lpstr>
      <vt:lpstr>ConvRate</vt:lpstr>
      <vt:lpstr>Currency</vt:lpstr>
      <vt:lpstr>EmergencyFuncToCalc</vt:lpstr>
      <vt:lpstr>finish</vt:lpstr>
      <vt:lpstr>FinishT</vt:lpstr>
      <vt:lpstr>FinishToCalc</vt:lpstr>
      <vt:lpstr>IncreasmentsT</vt:lpstr>
      <vt:lpstr>keys</vt:lpstr>
      <vt:lpstr>KeysT</vt:lpstr>
      <vt:lpstr>KeysToCalc</vt:lpstr>
      <vt:lpstr>KnobToCalc</vt:lpstr>
      <vt:lpstr>length</vt:lpstr>
      <vt:lpstr>LengthT</vt:lpstr>
      <vt:lpstr>LengthToCalc</vt:lpstr>
      <vt:lpstr>Loaded_Bodies</vt:lpstr>
      <vt:lpstr>LoadedBodiesToCalc</vt:lpstr>
      <vt:lpstr>Master</vt:lpstr>
      <vt:lpstr>ModularPlug</vt:lpstr>
      <vt:lpstr>MstrKySstmToCalc</vt:lpstr>
      <vt:lpstr>NENEGToCalc</vt:lpstr>
      <vt:lpstr>NPG</vt:lpstr>
      <vt:lpstr>package</vt:lpstr>
      <vt:lpstr>PackageT</vt:lpstr>
      <vt:lpstr>PackageToCalc</vt:lpstr>
      <vt:lpstr>PartNPG</vt:lpstr>
      <vt:lpstr>Platform</vt:lpstr>
      <vt:lpstr>PlatToInclude</vt:lpstr>
      <vt:lpstr>ProdToCalc</vt:lpstr>
      <vt:lpstr>ProdToInclude</vt:lpstr>
      <vt:lpstr>product_group</vt:lpstr>
      <vt:lpstr>ShackleprotectorToCalc</vt:lpstr>
      <vt:lpstr>Shackles</vt:lpstr>
      <vt:lpstr>ShacklesT</vt:lpstr>
      <vt:lpstr>ShacklesToCalc</vt:lpstr>
      <vt:lpstr>ShutterToCalc</vt:lpstr>
      <vt:lpstr>Side_Pins</vt:lpstr>
      <vt:lpstr>Side27mmToCalc</vt:lpstr>
      <vt:lpstr>SidePinsToCalc</vt:lpstr>
      <vt:lpstr>SidePnsRng</vt:lpstr>
      <vt:lpstr>spacer</vt:lpstr>
      <vt:lpstr>spacer1</vt:lpstr>
      <vt:lpstr>SpacerT</vt:lpstr>
      <vt:lpstr>SpacerToCalc</vt:lpstr>
      <vt:lpstr>SpclToCalc</vt:lpstr>
      <vt:lpstr>Specials</vt:lpstr>
      <vt:lpstr>Strenghening_plate</vt:lpstr>
      <vt:lpstr>StrengthToCalc</vt:lpstr>
      <vt:lpstr>ThreeInOneToCalc</vt:lpstr>
      <vt:lpstr>ThreePieceCamToCalc</vt:lpstr>
      <vt:lpstr>VariablesT</vt:lpstr>
      <vt:lpstr>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mul-t-lock</dc:creator>
  <cp:lastModifiedBy>Олексій Коваль</cp:lastModifiedBy>
  <cp:lastPrinted>2011-10-23T10:34:00Z</cp:lastPrinted>
  <dcterms:created xsi:type="dcterms:W3CDTF">2010-02-21T07:06:21Z</dcterms:created>
  <dcterms:modified xsi:type="dcterms:W3CDTF">2021-07-15T13:56:18Z</dcterms:modified>
</cp:coreProperties>
</file>